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radomirovaa\Documents\Sygnalne\Sygnalne 31.07.2024\Wydatki na ochronę zdrowia\w2\"/>
    </mc:Choice>
  </mc:AlternateContent>
  <xr:revisionPtr revIDLastSave="0" documentId="8_{91B3D30C-76AA-4F8F-94CE-710B776CA303}" xr6:coauthVersionLast="36" xr6:coauthVersionMax="36" xr10:uidLastSave="{00000000-0000-0000-0000-000000000000}"/>
  <bookViews>
    <workbookView xWindow="10510" yWindow="0" windowWidth="23040" windowHeight="10630" firstSheet="8" activeTab="13" xr2:uid="{00000000-000D-0000-FFFF-FFFF00000000}"/>
  </bookViews>
  <sheets>
    <sheet name="Nakłady na ochronę zdrowia" sheetId="1" state="hidden" r:id="rId1"/>
    <sheet name="Nakłady 2009-2020 wykres" sheetId="10" state="hidden" r:id="rId2"/>
    <sheet name="Tabelka szybka" sheetId="5" state="hidden" r:id="rId3"/>
    <sheet name="Porównanie" sheetId="14" state="hidden" r:id="rId4"/>
    <sheet name="tabela" sheetId="17" state="hidden" r:id="rId5"/>
    <sheet name="Tabelka szybka (2)" sheetId="18" state="hidden" r:id="rId6"/>
    <sheet name="Zestawienie do GUS" sheetId="19" state="hidden" r:id="rId7"/>
    <sheet name="Spis tablic" sheetId="26" r:id="rId8"/>
    <sheet name="T.1" sheetId="20" r:id="rId9"/>
    <sheet name="T.2" sheetId="21" r:id="rId10"/>
    <sheet name="T.3" sheetId="22" r:id="rId11"/>
    <sheet name="T.4" sheetId="23" r:id="rId12"/>
    <sheet name="T.5" sheetId="29" r:id="rId13"/>
    <sheet name="T.6" sheetId="30" r:id="rId14"/>
  </sheets>
  <definedNames>
    <definedName name="_xlnm.Print_Area" localSheetId="3">Porównanie!$A$1:$AH$18</definedName>
    <definedName name="_xlnm.Print_Area" localSheetId="4">tabela!$A$1:$AH$14</definedName>
    <definedName name="_xlnm.Print_Area" localSheetId="6">'Zestawienie do GUS'!$A$1:$AH$14</definedName>
    <definedName name="_xlnm.Print_Titles" localSheetId="3">Porównanie!$A:$B</definedName>
    <definedName name="_xlnm.Print_Titles" localSheetId="4">tabela!$A:$B</definedName>
    <definedName name="_xlnm.Print_Titles" localSheetId="6">'Zestawienie do GUS'!$A:$B</definedName>
  </definedNames>
  <calcPr calcId="191029"/>
</workbook>
</file>

<file path=xl/calcChain.xml><?xml version="1.0" encoding="utf-8"?>
<calcChain xmlns="http://schemas.openxmlformats.org/spreadsheetml/2006/main">
  <c r="I26" i="29" l="1"/>
  <c r="H26" i="29"/>
  <c r="G26" i="29"/>
  <c r="F26" i="29"/>
  <c r="E26" i="29"/>
  <c r="D26" i="29"/>
  <c r="C26" i="29"/>
  <c r="B26" i="29"/>
  <c r="K26" i="23"/>
  <c r="J26" i="23"/>
  <c r="I26" i="23"/>
  <c r="H26" i="23"/>
  <c r="G26" i="23"/>
  <c r="F26" i="23"/>
  <c r="E26" i="23"/>
  <c r="D26" i="23"/>
  <c r="C26" i="23"/>
  <c r="B26" i="23"/>
  <c r="L26" i="22"/>
  <c r="K26" i="22"/>
  <c r="J26" i="22"/>
  <c r="I26" i="22"/>
  <c r="H26" i="22"/>
  <c r="G26" i="22"/>
  <c r="F26" i="22"/>
  <c r="E26" i="22"/>
  <c r="D26" i="22"/>
  <c r="C26" i="22"/>
  <c r="B26" i="22"/>
  <c r="J26" i="21"/>
  <c r="I26" i="21"/>
  <c r="H26" i="21"/>
  <c r="G26" i="21"/>
  <c r="F26" i="21"/>
  <c r="E26" i="21"/>
  <c r="D26" i="21"/>
  <c r="C26" i="21"/>
  <c r="B26" i="21"/>
  <c r="C17" i="20" l="1"/>
  <c r="I17" i="20"/>
  <c r="G17" i="20"/>
  <c r="E17" i="20"/>
  <c r="E7" i="20" l="1"/>
  <c r="I25" i="29" l="1"/>
  <c r="H25" i="29"/>
  <c r="G25" i="29"/>
  <c r="F25" i="29"/>
  <c r="E25" i="29"/>
  <c r="D25" i="29"/>
  <c r="C25" i="29"/>
  <c r="B25" i="29"/>
  <c r="K25" i="23"/>
  <c r="J25" i="23"/>
  <c r="I25" i="23"/>
  <c r="H25" i="23"/>
  <c r="G25" i="23"/>
  <c r="F25" i="23"/>
  <c r="E25" i="23"/>
  <c r="D25" i="23"/>
  <c r="C25" i="23"/>
  <c r="B25" i="23"/>
  <c r="L25" i="22"/>
  <c r="K25" i="22"/>
  <c r="J25" i="22"/>
  <c r="I25" i="22"/>
  <c r="H25" i="22"/>
  <c r="G25" i="22"/>
  <c r="F25" i="22"/>
  <c r="E25" i="22"/>
  <c r="D25" i="22"/>
  <c r="C25" i="22"/>
  <c r="B25" i="22"/>
  <c r="I25" i="21"/>
  <c r="H25" i="21"/>
  <c r="G25" i="21"/>
  <c r="E25" i="21"/>
  <c r="D25" i="21"/>
  <c r="E16" i="20"/>
  <c r="C15" i="20" l="1"/>
  <c r="I16" i="20" l="1"/>
  <c r="G16" i="20"/>
  <c r="C16" i="20"/>
  <c r="B17" i="29" l="1"/>
  <c r="C17" i="29"/>
  <c r="D17" i="29"/>
  <c r="E17" i="29"/>
  <c r="F17" i="29"/>
  <c r="G17" i="29"/>
  <c r="H17" i="29"/>
  <c r="B18" i="29"/>
  <c r="C18" i="29"/>
  <c r="D18" i="29"/>
  <c r="E18" i="29"/>
  <c r="F18" i="29"/>
  <c r="G18" i="29"/>
  <c r="H18" i="29"/>
  <c r="I18" i="29"/>
  <c r="B19" i="29"/>
  <c r="C19" i="29"/>
  <c r="D19" i="29"/>
  <c r="E19" i="29"/>
  <c r="F19" i="29"/>
  <c r="G19" i="29"/>
  <c r="H19" i="29"/>
  <c r="I19" i="29"/>
  <c r="B20" i="29"/>
  <c r="C20" i="29"/>
  <c r="D20" i="29"/>
  <c r="E20" i="29"/>
  <c r="F20" i="29"/>
  <c r="G20" i="29"/>
  <c r="H20" i="29"/>
  <c r="I20" i="29"/>
  <c r="B21" i="29"/>
  <c r="C21" i="29"/>
  <c r="D21" i="29"/>
  <c r="E21" i="29"/>
  <c r="F21" i="29"/>
  <c r="G21" i="29"/>
  <c r="H21" i="29"/>
  <c r="I21" i="29"/>
  <c r="B22" i="29"/>
  <c r="C22" i="29"/>
  <c r="D22" i="29"/>
  <c r="E22" i="29"/>
  <c r="F22" i="29"/>
  <c r="G22" i="29"/>
  <c r="H22" i="29"/>
  <c r="I22" i="29"/>
  <c r="B23" i="29"/>
  <c r="C23" i="29"/>
  <c r="D23" i="29"/>
  <c r="E23" i="29"/>
  <c r="F23" i="29"/>
  <c r="G23" i="29"/>
  <c r="H23" i="29"/>
  <c r="I23" i="29"/>
  <c r="B24" i="29"/>
  <c r="C24" i="29"/>
  <c r="D24" i="29"/>
  <c r="E24" i="29"/>
  <c r="F24" i="29"/>
  <c r="G24" i="29"/>
  <c r="H24" i="29"/>
  <c r="I24" i="29"/>
  <c r="J19" i="23" l="1"/>
  <c r="K24" i="23" l="1"/>
  <c r="K23" i="23"/>
  <c r="K22" i="23"/>
  <c r="K21" i="23"/>
  <c r="K20" i="23"/>
  <c r="K19" i="23"/>
  <c r="K18" i="23"/>
  <c r="K17" i="23"/>
  <c r="J25" i="21" l="1"/>
  <c r="F25" i="21"/>
  <c r="C25" i="21"/>
  <c r="B25" i="21"/>
  <c r="J24" i="23" l="1"/>
  <c r="I24" i="23"/>
  <c r="H24" i="23"/>
  <c r="G24" i="23"/>
  <c r="F24" i="23"/>
  <c r="E24" i="23"/>
  <c r="D24" i="23"/>
  <c r="C24" i="23"/>
  <c r="B24" i="23"/>
  <c r="L24" i="22"/>
  <c r="K24" i="22"/>
  <c r="J24" i="22"/>
  <c r="I24" i="22"/>
  <c r="H24" i="22"/>
  <c r="G24" i="22"/>
  <c r="F24" i="22"/>
  <c r="E24" i="22"/>
  <c r="D24" i="22"/>
  <c r="C24" i="22"/>
  <c r="B24" i="22"/>
  <c r="I24" i="21" l="1"/>
  <c r="H24" i="21"/>
  <c r="G24" i="21"/>
  <c r="E24" i="21"/>
  <c r="D24" i="21"/>
  <c r="I15" i="20" l="1"/>
  <c r="G15" i="20"/>
  <c r="E15" i="20"/>
  <c r="C17" i="21" l="1"/>
  <c r="D17" i="21"/>
  <c r="E17" i="21"/>
  <c r="F17" i="21"/>
  <c r="G17" i="21"/>
  <c r="H17" i="21"/>
  <c r="I17" i="21"/>
  <c r="J17" i="21"/>
  <c r="I14" i="20" l="1"/>
  <c r="I13" i="20"/>
  <c r="I12" i="20"/>
  <c r="I11" i="20"/>
  <c r="I10" i="20"/>
  <c r="I9" i="20"/>
  <c r="I8" i="20"/>
  <c r="I7" i="20"/>
  <c r="G14" i="20"/>
  <c r="G13" i="20"/>
  <c r="G12" i="20"/>
  <c r="G11" i="20"/>
  <c r="G10" i="20"/>
  <c r="G9" i="20"/>
  <c r="G8" i="20"/>
  <c r="G7" i="20"/>
  <c r="E14" i="20"/>
  <c r="E13" i="20"/>
  <c r="E12" i="20"/>
  <c r="E11" i="20"/>
  <c r="E10" i="20"/>
  <c r="E9" i="20"/>
  <c r="E8" i="20"/>
  <c r="C8" i="20"/>
  <c r="C9" i="20"/>
  <c r="C10" i="20"/>
  <c r="C11" i="20"/>
  <c r="C12" i="20"/>
  <c r="C13" i="20"/>
  <c r="C14" i="20"/>
  <c r="C7" i="20"/>
  <c r="J18" i="22"/>
  <c r="K18" i="22"/>
  <c r="J19" i="22"/>
  <c r="K19" i="22"/>
  <c r="J20" i="22"/>
  <c r="K20" i="22"/>
  <c r="J21" i="22"/>
  <c r="K21" i="22"/>
  <c r="J22" i="22"/>
  <c r="K22" i="22"/>
  <c r="J23" i="22"/>
  <c r="K23" i="22"/>
  <c r="K17" i="22"/>
  <c r="J23" i="23" l="1"/>
  <c r="I23" i="23"/>
  <c r="H23" i="23"/>
  <c r="G23" i="23"/>
  <c r="F23" i="23"/>
  <c r="E23" i="23"/>
  <c r="D23" i="23"/>
  <c r="C23" i="23"/>
  <c r="B23" i="23"/>
  <c r="J22" i="23"/>
  <c r="I22" i="23"/>
  <c r="H22" i="23"/>
  <c r="G22" i="23"/>
  <c r="F22" i="23"/>
  <c r="E22" i="23"/>
  <c r="D22" i="23"/>
  <c r="C22" i="23"/>
  <c r="B22" i="23"/>
  <c r="J21" i="23"/>
  <c r="I21" i="23"/>
  <c r="H21" i="23"/>
  <c r="G21" i="23"/>
  <c r="F21" i="23"/>
  <c r="E21" i="23"/>
  <c r="D21" i="23"/>
  <c r="C21" i="23"/>
  <c r="B21" i="23"/>
  <c r="J20" i="23"/>
  <c r="I20" i="23"/>
  <c r="H20" i="23"/>
  <c r="G20" i="23"/>
  <c r="F20" i="23"/>
  <c r="E20" i="23"/>
  <c r="D20" i="23"/>
  <c r="C20" i="23"/>
  <c r="B20" i="23"/>
  <c r="I19" i="23"/>
  <c r="H19" i="23"/>
  <c r="G19" i="23"/>
  <c r="F19" i="23"/>
  <c r="E19" i="23"/>
  <c r="D19" i="23"/>
  <c r="C19" i="23"/>
  <c r="B19" i="23"/>
  <c r="J18" i="23"/>
  <c r="I18" i="23"/>
  <c r="H18" i="23"/>
  <c r="G18" i="23"/>
  <c r="F18" i="23"/>
  <c r="E18" i="23"/>
  <c r="D18" i="23"/>
  <c r="C18" i="23"/>
  <c r="B18" i="23"/>
  <c r="J17" i="23"/>
  <c r="H17" i="23"/>
  <c r="G17" i="23"/>
  <c r="F17" i="23"/>
  <c r="E17" i="23"/>
  <c r="D17" i="23"/>
  <c r="C17" i="23"/>
  <c r="B17" i="23"/>
  <c r="L23" i="22"/>
  <c r="I23" i="22"/>
  <c r="H23" i="22"/>
  <c r="G23" i="22"/>
  <c r="F23" i="22"/>
  <c r="E23" i="22"/>
  <c r="D23" i="22"/>
  <c r="C23" i="22"/>
  <c r="B23" i="22"/>
  <c r="L22" i="22"/>
  <c r="I22" i="22"/>
  <c r="H22" i="22"/>
  <c r="G22" i="22"/>
  <c r="F22" i="22"/>
  <c r="E22" i="22"/>
  <c r="D22" i="22"/>
  <c r="C22" i="22"/>
  <c r="B22" i="22"/>
  <c r="L21" i="22"/>
  <c r="I21" i="22"/>
  <c r="H21" i="22"/>
  <c r="G21" i="22"/>
  <c r="F21" i="22"/>
  <c r="E21" i="22"/>
  <c r="D21" i="22"/>
  <c r="C21" i="22"/>
  <c r="B21" i="22"/>
  <c r="L20" i="22"/>
  <c r="I20" i="22"/>
  <c r="H20" i="22"/>
  <c r="G20" i="22"/>
  <c r="F20" i="22"/>
  <c r="E20" i="22"/>
  <c r="D20" i="22"/>
  <c r="C20" i="22"/>
  <c r="B20" i="22"/>
  <c r="L19" i="22"/>
  <c r="I19" i="22"/>
  <c r="H19" i="22"/>
  <c r="G19" i="22"/>
  <c r="F19" i="22"/>
  <c r="E19" i="22"/>
  <c r="D19" i="22"/>
  <c r="C19" i="22"/>
  <c r="B19" i="22"/>
  <c r="L18" i="22"/>
  <c r="I18" i="22"/>
  <c r="H18" i="22"/>
  <c r="G18" i="22"/>
  <c r="F18" i="22"/>
  <c r="E18" i="22"/>
  <c r="D18" i="22"/>
  <c r="C18" i="22"/>
  <c r="B18" i="22"/>
  <c r="J17" i="22"/>
  <c r="H17" i="22"/>
  <c r="G17" i="22"/>
  <c r="F17" i="22"/>
  <c r="E17" i="22"/>
  <c r="D17" i="22"/>
  <c r="C17" i="22"/>
  <c r="B17" i="22"/>
  <c r="J24" i="21"/>
  <c r="F24" i="21"/>
  <c r="C24" i="21"/>
  <c r="B24" i="21"/>
  <c r="J23" i="21"/>
  <c r="I23" i="21"/>
  <c r="H23" i="21"/>
  <c r="G23" i="21"/>
  <c r="F23" i="21"/>
  <c r="E23" i="21"/>
  <c r="D23" i="21"/>
  <c r="C23" i="21"/>
  <c r="B23" i="21"/>
  <c r="J22" i="21"/>
  <c r="I22" i="21"/>
  <c r="H22" i="21"/>
  <c r="G22" i="21"/>
  <c r="F22" i="21"/>
  <c r="E22" i="21"/>
  <c r="D22" i="21"/>
  <c r="C22" i="21"/>
  <c r="B22" i="21"/>
  <c r="J21" i="21"/>
  <c r="I21" i="21"/>
  <c r="H21" i="21"/>
  <c r="G21" i="21"/>
  <c r="F21" i="21"/>
  <c r="E21" i="21"/>
  <c r="D21" i="21"/>
  <c r="C21" i="21"/>
  <c r="B21" i="21"/>
  <c r="J20" i="21"/>
  <c r="I20" i="21"/>
  <c r="H20" i="21"/>
  <c r="G20" i="21"/>
  <c r="F20" i="21"/>
  <c r="E20" i="21"/>
  <c r="D20" i="21"/>
  <c r="C20" i="21"/>
  <c r="B20" i="21"/>
  <c r="J19" i="21"/>
  <c r="I19" i="21"/>
  <c r="H19" i="21"/>
  <c r="G19" i="21"/>
  <c r="F19" i="21"/>
  <c r="E19" i="21"/>
  <c r="D19" i="21"/>
  <c r="C19" i="21"/>
  <c r="B19" i="21"/>
  <c r="J18" i="21"/>
  <c r="I18" i="21"/>
  <c r="H18" i="21"/>
  <c r="G18" i="21"/>
  <c r="F18" i="21"/>
  <c r="E18" i="21"/>
  <c r="D18" i="21"/>
  <c r="C18" i="21"/>
  <c r="B18" i="21"/>
  <c r="B17" i="21"/>
  <c r="AH12" i="19" l="1"/>
  <c r="AH19" i="19" s="1"/>
  <c r="AG12" i="19"/>
  <c r="AG18" i="19" s="1"/>
  <c r="AF12" i="19"/>
  <c r="AF19" i="19" s="1"/>
  <c r="AE12" i="19"/>
  <c r="AE14" i="19" s="1"/>
  <c r="AD12" i="19"/>
  <c r="AD14" i="19" s="1"/>
  <c r="AC12" i="19"/>
  <c r="AC19" i="19" s="1"/>
  <c r="AB12" i="19"/>
  <c r="AB18" i="19" s="1"/>
  <c r="AA12" i="19"/>
  <c r="AA18" i="19" s="1"/>
  <c r="Z12" i="19"/>
  <c r="Z19" i="19" s="1"/>
  <c r="Y12" i="19"/>
  <c r="Y19" i="19" s="1"/>
  <c r="X12" i="19"/>
  <c r="X19" i="19" s="1"/>
  <c r="W12" i="19"/>
  <c r="W19" i="19" s="1"/>
  <c r="V12" i="19"/>
  <c r="V18" i="19" s="1"/>
  <c r="U12" i="19"/>
  <c r="U19" i="19" s="1"/>
  <c r="T12" i="19"/>
  <c r="T19" i="19" s="1"/>
  <c r="S12" i="19"/>
  <c r="S19" i="19" s="1"/>
  <c r="R12" i="19"/>
  <c r="R19" i="19" s="1"/>
  <c r="Q12" i="19"/>
  <c r="Q19" i="19" s="1"/>
  <c r="P12" i="19"/>
  <c r="P19" i="19" s="1"/>
  <c r="O12" i="19"/>
  <c r="O18" i="19" s="1"/>
  <c r="N12" i="19"/>
  <c r="N19" i="19" s="1"/>
  <c r="M12" i="19"/>
  <c r="M19" i="19" s="1"/>
  <c r="L12" i="19"/>
  <c r="L19" i="19" s="1"/>
  <c r="K12" i="19"/>
  <c r="K18" i="19" s="1"/>
  <c r="J12" i="19"/>
  <c r="J19" i="19" s="1"/>
  <c r="I12" i="19"/>
  <c r="I19" i="19" s="1"/>
  <c r="H12" i="19"/>
  <c r="H19" i="19" s="1"/>
  <c r="G12" i="19"/>
  <c r="G19" i="19" s="1"/>
  <c r="F12" i="19"/>
  <c r="F19" i="19" s="1"/>
  <c r="E12" i="19"/>
  <c r="E19" i="19" s="1"/>
  <c r="D12" i="19"/>
  <c r="D19" i="19" s="1"/>
  <c r="C12" i="19"/>
  <c r="C19" i="19" s="1"/>
  <c r="K21" i="18"/>
  <c r="J21" i="18"/>
  <c r="H21" i="18"/>
  <c r="G21" i="18"/>
  <c r="K20" i="18"/>
  <c r="J20" i="18"/>
  <c r="H20" i="18"/>
  <c r="G20" i="18"/>
  <c r="K19" i="18"/>
  <c r="J19" i="18"/>
  <c r="H19" i="18"/>
  <c r="G19" i="18"/>
  <c r="K18" i="18"/>
  <c r="J18" i="18"/>
  <c r="H18" i="18"/>
  <c r="G18" i="18"/>
  <c r="K17" i="18"/>
  <c r="J17" i="18"/>
  <c r="H17" i="18"/>
  <c r="G17" i="18"/>
  <c r="K16" i="18"/>
  <c r="J16" i="18"/>
  <c r="H16" i="18"/>
  <c r="G16" i="18"/>
  <c r="K15" i="18"/>
  <c r="J15" i="18"/>
  <c r="H15" i="18"/>
  <c r="G15" i="18"/>
  <c r="K14" i="18"/>
  <c r="J14" i="18"/>
  <c r="H14" i="18"/>
  <c r="G14" i="18"/>
  <c r="K13" i="18"/>
  <c r="J13" i="18"/>
  <c r="H13" i="18"/>
  <c r="G13" i="18"/>
  <c r="K12" i="18"/>
  <c r="J12" i="18"/>
  <c r="H12" i="18"/>
  <c r="G12" i="18"/>
  <c r="K11" i="18"/>
  <c r="J11" i="18"/>
  <c r="H11" i="18"/>
  <c r="G11" i="18"/>
  <c r="K10" i="18"/>
  <c r="J10" i="18"/>
  <c r="H10" i="18"/>
  <c r="G10" i="18"/>
  <c r="K9" i="18"/>
  <c r="J9" i="18"/>
  <c r="H9" i="18"/>
  <c r="G9" i="18"/>
  <c r="K8" i="18"/>
  <c r="J8" i="18"/>
  <c r="H8" i="18"/>
  <c r="G8" i="18"/>
  <c r="K7" i="18"/>
  <c r="J7" i="18"/>
  <c r="H7" i="18"/>
  <c r="G7" i="18"/>
  <c r="K6" i="18"/>
  <c r="J6" i="18"/>
  <c r="H6" i="18"/>
  <c r="G6" i="18"/>
  <c r="L16" i="10"/>
  <c r="D12" i="17"/>
  <c r="D19" i="17" s="1"/>
  <c r="E12" i="17"/>
  <c r="E19" i="17" s="1"/>
  <c r="F12" i="17"/>
  <c r="F14" i="17" s="1"/>
  <c r="G12" i="17"/>
  <c r="G14" i="17" s="1"/>
  <c r="H12" i="17"/>
  <c r="H19" i="17" s="1"/>
  <c r="I12" i="17"/>
  <c r="I19" i="17" s="1"/>
  <c r="J12" i="17"/>
  <c r="J14" i="17" s="1"/>
  <c r="K12" i="17"/>
  <c r="K19" i="17" s="1"/>
  <c r="L12" i="17"/>
  <c r="L19" i="17" s="1"/>
  <c r="M12" i="17"/>
  <c r="M19" i="17" s="1"/>
  <c r="N12" i="17"/>
  <c r="N19" i="17" s="1"/>
  <c r="O12" i="17"/>
  <c r="O14" i="17" s="1"/>
  <c r="P12" i="17"/>
  <c r="P19" i="17" s="1"/>
  <c r="Q12" i="17"/>
  <c r="Q19" i="17" s="1"/>
  <c r="R12" i="17"/>
  <c r="R18" i="17" s="1"/>
  <c r="S12" i="17"/>
  <c r="S19" i="17" s="1"/>
  <c r="T12" i="17"/>
  <c r="T18" i="17" s="1"/>
  <c r="U12" i="17"/>
  <c r="U19" i="17" s="1"/>
  <c r="V12" i="17"/>
  <c r="V14" i="17" s="1"/>
  <c r="W12" i="17"/>
  <c r="W14" i="17" s="1"/>
  <c r="X12" i="17"/>
  <c r="X19" i="17" s="1"/>
  <c r="Y12" i="17"/>
  <c r="Y19" i="17" s="1"/>
  <c r="Z12" i="17"/>
  <c r="Z19" i="17" s="1"/>
  <c r="AA12" i="17"/>
  <c r="AA19" i="17" s="1"/>
  <c r="AB12" i="17"/>
  <c r="AB19" i="17" s="1"/>
  <c r="AC12" i="17"/>
  <c r="AC18" i="17" s="1"/>
  <c r="AD12" i="17"/>
  <c r="AD19" i="17" s="1"/>
  <c r="AE12" i="17"/>
  <c r="AE14" i="17" s="1"/>
  <c r="AF12" i="17"/>
  <c r="AF19" i="17" s="1"/>
  <c r="AG12" i="17"/>
  <c r="AG19" i="17" s="1"/>
  <c r="AH12" i="17"/>
  <c r="AH18" i="17" s="1"/>
  <c r="C12" i="17"/>
  <c r="C19" i="17" s="1"/>
  <c r="D16" i="14"/>
  <c r="D17" i="14" s="1"/>
  <c r="E16" i="14"/>
  <c r="E17" i="14" s="1"/>
  <c r="F16" i="14"/>
  <c r="F17" i="14" s="1"/>
  <c r="G16" i="14"/>
  <c r="G17" i="14" s="1"/>
  <c r="H16" i="14"/>
  <c r="H17" i="14" s="1"/>
  <c r="I16" i="14"/>
  <c r="I17" i="14" s="1"/>
  <c r="J16" i="14"/>
  <c r="J17" i="14" s="1"/>
  <c r="K16" i="14"/>
  <c r="K17" i="14" s="1"/>
  <c r="L16" i="14"/>
  <c r="L17" i="14" s="1"/>
  <c r="M16" i="14"/>
  <c r="M17" i="14" s="1"/>
  <c r="N16" i="14"/>
  <c r="N17" i="14" s="1"/>
  <c r="O16" i="14"/>
  <c r="O17" i="14" s="1"/>
  <c r="P16" i="14"/>
  <c r="P17" i="14" s="1"/>
  <c r="Q16" i="14"/>
  <c r="Q17" i="14" s="1"/>
  <c r="R16" i="14"/>
  <c r="R17" i="14" s="1"/>
  <c r="S16" i="14"/>
  <c r="S17" i="14" s="1"/>
  <c r="T16" i="14"/>
  <c r="T17" i="14" s="1"/>
  <c r="U16" i="14"/>
  <c r="U17" i="14" s="1"/>
  <c r="V16" i="14"/>
  <c r="V17" i="14" s="1"/>
  <c r="W16" i="14"/>
  <c r="W17" i="14" s="1"/>
  <c r="X16" i="14"/>
  <c r="X17" i="14" s="1"/>
  <c r="Y16" i="14"/>
  <c r="Y17" i="14" s="1"/>
  <c r="Z16" i="14"/>
  <c r="Z17" i="14" s="1"/>
  <c r="AA16" i="14"/>
  <c r="AA17" i="14" s="1"/>
  <c r="AB16" i="14"/>
  <c r="AB17" i="14" s="1"/>
  <c r="AC16" i="14"/>
  <c r="AC17" i="14" s="1"/>
  <c r="AD16" i="14"/>
  <c r="AD17" i="14" s="1"/>
  <c r="AE16" i="14"/>
  <c r="AE17" i="14" s="1"/>
  <c r="AF16" i="14"/>
  <c r="AF17" i="14" s="1"/>
  <c r="AG16" i="14"/>
  <c r="AG17" i="14" s="1"/>
  <c r="AH16" i="14"/>
  <c r="AH17" i="14" s="1"/>
  <c r="D13" i="14"/>
  <c r="D15" i="14" s="1"/>
  <c r="E13" i="14"/>
  <c r="E15" i="14" s="1"/>
  <c r="F13" i="14"/>
  <c r="F15" i="14" s="1"/>
  <c r="G13" i="14"/>
  <c r="G15" i="14" s="1"/>
  <c r="H13" i="14"/>
  <c r="H15" i="14" s="1"/>
  <c r="I13" i="14"/>
  <c r="I15" i="14" s="1"/>
  <c r="J13" i="14"/>
  <c r="J15" i="14" s="1"/>
  <c r="K13" i="14"/>
  <c r="K15" i="14" s="1"/>
  <c r="L13" i="14"/>
  <c r="L15" i="14" s="1"/>
  <c r="M13" i="14"/>
  <c r="M15" i="14" s="1"/>
  <c r="N13" i="14"/>
  <c r="N15" i="14" s="1"/>
  <c r="O13" i="14"/>
  <c r="O15" i="14" s="1"/>
  <c r="P13" i="14"/>
  <c r="P15" i="14" s="1"/>
  <c r="Q13" i="14"/>
  <c r="Q15" i="14" s="1"/>
  <c r="R13" i="14"/>
  <c r="R15" i="14" s="1"/>
  <c r="S13" i="14"/>
  <c r="S15" i="14" s="1"/>
  <c r="T13" i="14"/>
  <c r="T15" i="14" s="1"/>
  <c r="U13" i="14"/>
  <c r="U15" i="14" s="1"/>
  <c r="V13" i="14"/>
  <c r="V15" i="14" s="1"/>
  <c r="W13" i="14"/>
  <c r="W15" i="14" s="1"/>
  <c r="X13" i="14"/>
  <c r="X15" i="14" s="1"/>
  <c r="Y13" i="14"/>
  <c r="Y15" i="14" s="1"/>
  <c r="Z13" i="14"/>
  <c r="Z15" i="14" s="1"/>
  <c r="AA13" i="14"/>
  <c r="AA15" i="14" s="1"/>
  <c r="AB13" i="14"/>
  <c r="AB15" i="14" s="1"/>
  <c r="AC13" i="14"/>
  <c r="AC15" i="14" s="1"/>
  <c r="AD13" i="14"/>
  <c r="AD15" i="14" s="1"/>
  <c r="AE13" i="14"/>
  <c r="AE15" i="14" s="1"/>
  <c r="AF13" i="14"/>
  <c r="AF15" i="14" s="1"/>
  <c r="AG13" i="14"/>
  <c r="AG15" i="14" s="1"/>
  <c r="AH13" i="14"/>
  <c r="AH15" i="14" s="1"/>
  <c r="C16" i="14"/>
  <c r="C17" i="14" s="1"/>
  <c r="C13" i="14"/>
  <c r="C15" i="14" s="1"/>
  <c r="K6" i="5"/>
  <c r="K7" i="5"/>
  <c r="J6" i="5"/>
  <c r="J7" i="5"/>
  <c r="H6" i="5"/>
  <c r="H7" i="5"/>
  <c r="G6" i="5"/>
  <c r="G7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8" i="5"/>
  <c r="G22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8" i="5"/>
  <c r="AH23" i="14" l="1"/>
  <c r="T23" i="14"/>
  <c r="D23" i="14"/>
  <c r="T24" i="14"/>
  <c r="L24" i="14"/>
  <c r="D24" i="14"/>
  <c r="AI10" i="17"/>
  <c r="AB23" i="14"/>
  <c r="L23" i="14"/>
  <c r="V24" i="14"/>
  <c r="N24" i="14"/>
  <c r="F24" i="14"/>
  <c r="AE23" i="14"/>
  <c r="W23" i="14"/>
  <c r="O23" i="14"/>
  <c r="G23" i="14"/>
  <c r="AG24" i="14"/>
  <c r="AC24" i="14"/>
  <c r="AA24" i="14"/>
  <c r="AG23" i="14"/>
  <c r="AD23" i="14"/>
  <c r="Z23" i="14"/>
  <c r="V23" i="14"/>
  <c r="R23" i="14"/>
  <c r="N23" i="14"/>
  <c r="J23" i="14"/>
  <c r="F23" i="14"/>
  <c r="AH24" i="14"/>
  <c r="AD24" i="14"/>
  <c r="AB24" i="14"/>
  <c r="Y24" i="14"/>
  <c r="U24" i="14"/>
  <c r="Q24" i="14"/>
  <c r="M24" i="14"/>
  <c r="I24" i="14"/>
  <c r="E24" i="14"/>
  <c r="G19" i="17"/>
  <c r="AI11" i="17"/>
  <c r="AI9" i="17"/>
  <c r="AI8" i="17"/>
  <c r="AI7" i="17"/>
  <c r="W19" i="17"/>
  <c r="AI6" i="17"/>
  <c r="AI5" i="17"/>
  <c r="AI3" i="17"/>
  <c r="AI4" i="17"/>
  <c r="O19" i="17"/>
  <c r="AE19" i="17"/>
  <c r="Q14" i="17"/>
  <c r="K14" i="17"/>
  <c r="AH14" i="17"/>
  <c r="AG14" i="17"/>
  <c r="C18" i="19"/>
  <c r="AA19" i="19"/>
  <c r="AB19" i="19"/>
  <c r="K14" i="19"/>
  <c r="S14" i="19"/>
  <c r="AA14" i="19"/>
  <c r="S18" i="19"/>
  <c r="K19" i="19"/>
  <c r="D14" i="19"/>
  <c r="L14" i="19"/>
  <c r="T14" i="19"/>
  <c r="AB14" i="19"/>
  <c r="D18" i="19"/>
  <c r="L18" i="19"/>
  <c r="T18" i="19"/>
  <c r="E14" i="19"/>
  <c r="M14" i="19"/>
  <c r="U14" i="19"/>
  <c r="AC14" i="19"/>
  <c r="E18" i="19"/>
  <c r="M18" i="19"/>
  <c r="U18" i="19"/>
  <c r="AC18" i="19"/>
  <c r="AD19" i="19"/>
  <c r="AE18" i="19"/>
  <c r="O19" i="19"/>
  <c r="AE19" i="19"/>
  <c r="F14" i="19"/>
  <c r="V14" i="19"/>
  <c r="N18" i="19"/>
  <c r="AD18" i="19"/>
  <c r="V19" i="19"/>
  <c r="G14" i="19"/>
  <c r="O14" i="19"/>
  <c r="W14" i="19"/>
  <c r="G18" i="19"/>
  <c r="W18" i="19"/>
  <c r="H14" i="19"/>
  <c r="P14" i="19"/>
  <c r="X14" i="19"/>
  <c r="AF14" i="19"/>
  <c r="H18" i="19"/>
  <c r="P18" i="19"/>
  <c r="X18" i="19"/>
  <c r="AF18" i="19"/>
  <c r="C14" i="19"/>
  <c r="N14" i="19"/>
  <c r="F18" i="19"/>
  <c r="Q14" i="19"/>
  <c r="AG14" i="19"/>
  <c r="Q18" i="19"/>
  <c r="AG19" i="19"/>
  <c r="I14" i="19"/>
  <c r="Y14" i="19"/>
  <c r="I18" i="19"/>
  <c r="Y18" i="19"/>
  <c r="J14" i="19"/>
  <c r="R14" i="19"/>
  <c r="Z14" i="19"/>
  <c r="AH14" i="19"/>
  <c r="J18" i="19"/>
  <c r="R18" i="19"/>
  <c r="Z18" i="19"/>
  <c r="AH18" i="19"/>
  <c r="S24" i="14"/>
  <c r="K24" i="14"/>
  <c r="AA23" i="14"/>
  <c r="S23" i="14"/>
  <c r="K23" i="14"/>
  <c r="Z24" i="14"/>
  <c r="R24" i="14"/>
  <c r="J24" i="14"/>
  <c r="Y23" i="14"/>
  <c r="Q23" i="14"/>
  <c r="I23" i="14"/>
  <c r="AF24" i="14"/>
  <c r="X24" i="14"/>
  <c r="P24" i="14"/>
  <c r="H24" i="14"/>
  <c r="AF23" i="14"/>
  <c r="X23" i="14"/>
  <c r="P23" i="14"/>
  <c r="H23" i="14"/>
  <c r="AE24" i="14"/>
  <c r="W24" i="14"/>
  <c r="O24" i="14"/>
  <c r="G24" i="14"/>
  <c r="AC23" i="14"/>
  <c r="U23" i="14"/>
  <c r="M23" i="14"/>
  <c r="E23" i="14"/>
  <c r="C23" i="14"/>
  <c r="C24" i="14"/>
  <c r="X14" i="17"/>
  <c r="S14" i="17"/>
  <c r="P14" i="17"/>
  <c r="I14" i="17"/>
  <c r="AA14" i="17"/>
  <c r="H14" i="17"/>
  <c r="V19" i="17"/>
  <c r="F19" i="17"/>
  <c r="Y14" i="17"/>
  <c r="AF14" i="17"/>
  <c r="C14" i="17"/>
  <c r="Z14" i="17"/>
  <c r="R14" i="17"/>
  <c r="AD14" i="17"/>
  <c r="N14" i="17"/>
  <c r="AC14" i="17"/>
  <c r="U14" i="17"/>
  <c r="M14" i="17"/>
  <c r="E14" i="17"/>
  <c r="AB14" i="17"/>
  <c r="T14" i="17"/>
  <c r="L14" i="17"/>
  <c r="D14" i="17"/>
  <c r="AH19" i="17"/>
  <c r="C18" i="17"/>
  <c r="K18" i="17"/>
  <c r="S18" i="17"/>
  <c r="AA18" i="17"/>
  <c r="J19" i="17"/>
  <c r="Z18" i="17"/>
  <c r="L18" i="17"/>
  <c r="T19" i="17"/>
  <c r="E18" i="17"/>
  <c r="U18" i="17"/>
  <c r="AC19" i="17"/>
  <c r="F18" i="17"/>
  <c r="N18" i="17"/>
  <c r="V18" i="17"/>
  <c r="AD18" i="17"/>
  <c r="J18" i="17"/>
  <c r="R19" i="17"/>
  <c r="M18" i="17"/>
  <c r="G18" i="17"/>
  <c r="O18" i="17"/>
  <c r="W18" i="17"/>
  <c r="AE18" i="17"/>
  <c r="D18" i="17"/>
  <c r="H18" i="17"/>
  <c r="P18" i="17"/>
  <c r="X18" i="17"/>
  <c r="AF18" i="17"/>
  <c r="AB18" i="17"/>
  <c r="I18" i="17"/>
  <c r="Q18" i="17"/>
  <c r="Y18" i="17"/>
  <c r="AG18" i="17"/>
  <c r="K6" i="10" l="1"/>
  <c r="O16" i="10"/>
  <c r="N16" i="10"/>
  <c r="K16" i="10"/>
  <c r="O15" i="10"/>
  <c r="N15" i="10"/>
  <c r="L15" i="10"/>
  <c r="K15" i="10"/>
  <c r="O14" i="10"/>
  <c r="N14" i="10"/>
  <c r="L14" i="10"/>
  <c r="K14" i="10"/>
  <c r="O13" i="10"/>
  <c r="N13" i="10"/>
  <c r="L13" i="10"/>
  <c r="K13" i="10"/>
  <c r="O12" i="10"/>
  <c r="N12" i="10"/>
  <c r="L12" i="10"/>
  <c r="K12" i="10"/>
  <c r="O11" i="10"/>
  <c r="N11" i="10"/>
  <c r="L11" i="10"/>
  <c r="K11" i="10"/>
  <c r="O10" i="10"/>
  <c r="N10" i="10"/>
  <c r="L10" i="10"/>
  <c r="K10" i="10"/>
  <c r="O9" i="10"/>
  <c r="N9" i="10"/>
  <c r="L9" i="10"/>
  <c r="K9" i="10"/>
  <c r="O8" i="10"/>
  <c r="N8" i="10"/>
  <c r="L8" i="10"/>
  <c r="K8" i="10"/>
  <c r="O7" i="10"/>
  <c r="N7" i="10"/>
  <c r="L7" i="10"/>
  <c r="K7" i="10"/>
  <c r="O6" i="10"/>
  <c r="N6" i="10"/>
  <c r="L6" i="10"/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H4" i="1"/>
  <c r="C11" i="1" l="1"/>
  <c r="C12" i="1" s="1"/>
  <c r="E11" i="1"/>
  <c r="E12" i="1" s="1"/>
  <c r="G11" i="1"/>
  <c r="G12" i="1" s="1"/>
  <c r="B11" i="1"/>
  <c r="B12" i="1" s="1"/>
  <c r="D11" i="1"/>
  <c r="D12" i="1" s="1"/>
  <c r="F11" i="1"/>
  <c r="F12" i="1" s="1"/>
  <c r="H11" i="1"/>
  <c r="H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tc={8A0B75A2-4719-401B-90BC-4C74763D2DC8}</author>
  </authors>
  <commentList>
    <comment ref="AH7" authorId="0" shapeId="0" xr:uid="{00000000-0006-0000-03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120 tys. zdjeto są to koszy które wykazuje nfz jako obsługa FS</t>
        </r>
      </text>
    </comment>
  </commentList>
</comments>
</file>

<file path=xl/sharedStrings.xml><?xml version="1.0" encoding="utf-8"?>
<sst xmlns="http://schemas.openxmlformats.org/spreadsheetml/2006/main" count="441" uniqueCount="191">
  <si>
    <t>Wyszczególnienie 
kategorie wg ustawy</t>
  </si>
  <si>
    <t>Wykonanie</t>
  </si>
  <si>
    <t>Wydatki budżetowe w części budżetu państwa, której dysponentem jest minister właściwy do spraw zdrowia</t>
  </si>
  <si>
    <t>Wydatki budżetowe w dziale „ochrona zdrowia” w innych częściach budżetu państwa</t>
  </si>
  <si>
    <t>Koszty Funduszu ujęte w planie finansowym Funduszu z wyłączeniem środków z budżetu państwa</t>
  </si>
  <si>
    <t>Koszty związane z realizacją staży podyplomowych lekarzy i lekarzy dentystów oraz specjalizacji lekarzy, lekarzy dentystów, pielęgniarek i położnych</t>
  </si>
  <si>
    <t>Odpis dla Agencji Oceny Technologii Medycznych i Taryfikacji, o którym mowa w art. 31t ust. 5-9 ustawy ujęty w planie finansowym Funduszu</t>
  </si>
  <si>
    <t>Koszty ujęte w planie finansowym Funduszu Rozwiązywania Problemów Hazardowych</t>
  </si>
  <si>
    <t>PKB</t>
  </si>
  <si>
    <t>Wydatki budżetu środków europejskich</t>
  </si>
  <si>
    <t>Plan*</t>
  </si>
  <si>
    <t>Prognozy MF</t>
  </si>
  <si>
    <t>RAZEM</t>
  </si>
  <si>
    <t>Nakłady do % PKB z przed dwóch lat</t>
  </si>
  <si>
    <t>Wydatki budżetowe w rezerwach celowych ujetych w działach innych niż ochrona zdrowia*</t>
  </si>
  <si>
    <t>* - rezerwy celowe ujęte w dziale innym niż ochrona zdrowia zgodnie z ustawą nie wliczają się do nakładów, natomiast po ich uruchomieniu środki te zwiększą dział 851 - Ochrona zdrowia</t>
  </si>
  <si>
    <t>Nakłady minimalne według ustawy</t>
  </si>
  <si>
    <t>2017</t>
  </si>
  <si>
    <t>Plan</t>
  </si>
  <si>
    <t>L.p.</t>
  </si>
  <si>
    <t>I</t>
  </si>
  <si>
    <t>II</t>
  </si>
  <si>
    <t>Ia</t>
  </si>
  <si>
    <t>III</t>
  </si>
  <si>
    <t>IV</t>
  </si>
  <si>
    <t>V</t>
  </si>
  <si>
    <t>VI</t>
  </si>
  <si>
    <t>VII</t>
  </si>
  <si>
    <t>Wydatki budżetowe w rezerwach celowych ujetych w działach innych niż ochrona zdrowia</t>
  </si>
  <si>
    <t>Razem nakłady bez rezerw w innych działach</t>
  </si>
  <si>
    <t>% PKB wynikający z ustawy</t>
  </si>
  <si>
    <t>RAZEM (z uwzględnieniem rezerw)</t>
  </si>
  <si>
    <t>Wysokość PKB z przed dwóch lat wg obwieszczenia</t>
  </si>
  <si>
    <t>Nakłady do % PKB z obwieszczenia</t>
  </si>
  <si>
    <t>Nakłady bez rezerw do % PKB z obwieszczenia</t>
  </si>
  <si>
    <t>Plan po zmianach</t>
  </si>
  <si>
    <t>VIII</t>
  </si>
  <si>
    <t>IX</t>
  </si>
  <si>
    <t>Koszty realizacji programów rządowych, o których mowa w art. 7 ust. 1 ustawy z dnia 23 października 2018 r. o Solidarnościowym Funduszu Wsparcia Osób Niepełnosprawnych w zakresie wsparcia zdrowotnego osób niepełnosprawnych</t>
  </si>
  <si>
    <t>Rok</t>
  </si>
  <si>
    <t>Plan wg ustawy</t>
  </si>
  <si>
    <t>Kwota w tys. zł</t>
  </si>
  <si>
    <t>% PKB</t>
  </si>
  <si>
    <t> 5,18%</t>
  </si>
  <si>
    <t>plan po zmianach kwiecień 2021 r.</t>
  </si>
  <si>
    <t>Odpis dla Agencji Badań Medycznych, o którym mowa w art. 97 ust. 3e, ujęty w planie finansowym Funduszu</t>
  </si>
  <si>
    <t>Koszty Narodowego Funduszu Zdrowia ujęte w planie finansowym Funduszu z wyłączeniem środków z budżetu państwa</t>
  </si>
  <si>
    <t>mld zł</t>
  </si>
  <si>
    <t xml:space="preserve">wzrost wartość bezwzględna </t>
  </si>
  <si>
    <t>wzrost rok do roku %</t>
  </si>
  <si>
    <t>Kwota</t>
  </si>
  <si>
    <t> 5,27%</t>
  </si>
  <si>
    <t>UB</t>
  </si>
  <si>
    <t>PKB N-2</t>
  </si>
  <si>
    <t>PKB-N-0</t>
  </si>
  <si>
    <t>% PKB N-2</t>
  </si>
  <si>
    <t>% PKB N-0</t>
  </si>
  <si>
    <t>wykonaie</t>
  </si>
  <si>
    <t>Minimalna kwota nakładów wynikająca z art. 131 c ustawy</t>
  </si>
  <si>
    <t>PKB N-2 
do wyliczenia zgodnie z ustawą</t>
  </si>
  <si>
    <t xml:space="preserve">PKB N-0 
z roku biężącego </t>
  </si>
  <si>
    <t>Razem nakłady na ochronę zdrowia bez rezerw w innych działach</t>
  </si>
  <si>
    <t xml:space="preserve">Ustawa budżetowa </t>
  </si>
  <si>
    <t>Słowniczek:</t>
  </si>
  <si>
    <r>
      <t xml:space="preserve">Udział wydatków w nakładach na ochronę zdrowia 
wg kategorii wynikających z </t>
    </r>
    <r>
      <rPr>
        <i/>
        <sz val="10"/>
        <rFont val="Calibri"/>
        <family val="2"/>
        <charset val="238"/>
        <scheme val="minor"/>
      </rPr>
      <t>ustawy</t>
    </r>
  </si>
  <si>
    <t>Ustawa budżetowa 2020</t>
  </si>
  <si>
    <t>Wykonanie 2020</t>
  </si>
  <si>
    <t>w %</t>
  </si>
  <si>
    <t>Ogółem</t>
  </si>
  <si>
    <t>w mln zł</t>
  </si>
  <si>
    <t>w % PKB</t>
  </si>
  <si>
    <t>Wydatki publiczne</t>
  </si>
  <si>
    <t>HF.1</t>
  </si>
  <si>
    <t>HF.1.1</t>
  </si>
  <si>
    <t>HF.2</t>
  </si>
  <si>
    <t>HF.2.1</t>
  </si>
  <si>
    <t>HF.2.2</t>
  </si>
  <si>
    <t>HF.2.3</t>
  </si>
  <si>
    <t>HF.3</t>
  </si>
  <si>
    <t>HF.4</t>
  </si>
  <si>
    <t>-</t>
  </si>
  <si>
    <t>HC.1</t>
  </si>
  <si>
    <t>HC.2</t>
  </si>
  <si>
    <t>HC.3</t>
  </si>
  <si>
    <t>HC.4</t>
  </si>
  <si>
    <t>HC.5</t>
  </si>
  <si>
    <t>HC.5.1</t>
  </si>
  <si>
    <t>HC.5.2</t>
  </si>
  <si>
    <t>HC.6</t>
  </si>
  <si>
    <t>HC.7</t>
  </si>
  <si>
    <t xml:space="preserve">Usługi lecznicze </t>
  </si>
  <si>
    <t xml:space="preserve">w mln zł 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</si>
  <si>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</si>
  <si>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</si>
  <si>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</si>
  <si>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</si>
  <si>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</si>
  <si>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</si>
  <si>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</si>
  <si>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</si>
  <si>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</si>
  <si>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>FS.1</t>
  </si>
  <si>
    <t>FS.2</t>
  </si>
  <si>
    <t>FS.3</t>
  </si>
  <si>
    <t>FS.4</t>
  </si>
  <si>
    <t>FS.5</t>
  </si>
  <si>
    <t>FS.6</t>
  </si>
  <si>
    <t>FS.7</t>
  </si>
  <si>
    <t>Składki na ubezpieczenia społeczne</t>
  </si>
  <si>
    <t xml:space="preserve">Dobrowolne przedpłaty </t>
  </si>
  <si>
    <t>Inne przychody krajowe n.e.c</t>
  </si>
  <si>
    <t>HF.1.2</t>
  </si>
  <si>
    <t>Wydatki publiczne (HF.1)</t>
  </si>
  <si>
    <t>Wydatki bieżące na ochronę zdrowia</t>
  </si>
  <si>
    <t>wykonanie</t>
  </si>
  <si>
    <t>Spis tablic</t>
  </si>
  <si>
    <t xml:space="preserve">Ogółem
</t>
  </si>
  <si>
    <t xml:space="preserve">Szpitale  </t>
  </si>
  <si>
    <t xml:space="preserve">Stacjonarne zakłady opieki  długoterminowej 
</t>
  </si>
  <si>
    <t>w tys. zł</t>
  </si>
  <si>
    <t>Tabl. 6. Nakłady na ochronę zdrowia (zgodnie z metodologią "ustawową")</t>
  </si>
  <si>
    <t xml:space="preserve">Świadczeniodawcy ambulatoryjnej opieki zdrowotnej
</t>
  </si>
  <si>
    <t xml:space="preserve">Obowiązkowe przedpłaty (inne niż wykazane       w FS.3) </t>
  </si>
  <si>
    <t>Literą N oznaczono rok, którego dotyczą dane o nakładach na zdrowie (plan i wykonanie).</t>
  </si>
  <si>
    <t>Tabl. 4. Wydatki bieżące na ochronę zdrowia według dostawców dóbr i usług  (na podstawie Narodowego Rachunku Zdrowia)</t>
  </si>
  <si>
    <t>Tabl. 3. Wydatki bieżące na ochronę zdrowia według funkcji  (na podstawie Narodowego Rachunku Zdrowia)</t>
  </si>
  <si>
    <t>Tabl. 1. Wydatki bieżące na ochronę zdrowia (według Narodowego Rachunku Zdrowia)</t>
  </si>
  <si>
    <t>Tablica 5. Wydatki bieżące na ochronę zdrowia według przychodów schematów finansowania (na podstawie Narodowego Rachunku Zdrowia)</t>
  </si>
  <si>
    <t>Tablica 4.  Wydatki bieżące na ochronę zdrowia według dostawców dóbr i usług  (na podstawie Narodowego Rachunku Zdrowia)</t>
  </si>
  <si>
    <t>Tablica 3.  Wydatki bieżące na ochronę zdrowia według funkcji  (na podstawie Narodowego Rachunku Zdrowia)</t>
  </si>
  <si>
    <t>Tablica 1.  Wydatki bieżące na ochronę zdrowia (według Narodowego Rachunku Zdrowia)</t>
  </si>
  <si>
    <t>Bezpośrednie transfery z zagranicy</t>
  </si>
  <si>
    <t xml:space="preserve">Transfery z zagranicznych źródeł dystrybuowane przez rząd </t>
  </si>
  <si>
    <t xml:space="preserve">Transfery z krajowych przychodów instytucji rządowych 
i samorządowych </t>
  </si>
  <si>
    <t>151 032 578</t>
  </si>
  <si>
    <t>Wydatki bezpośrednie gospodarstw domowych (HF.3)</t>
  </si>
  <si>
    <t>Systemy finansowania przez przedsiębiorstwa</t>
  </si>
  <si>
    <t>Leki i materiały medyczne niebędące dobrami trwałego użytku (nieokreślone według funkcji)</t>
  </si>
  <si>
    <t xml:space="preserve">Sprzęt terapeutyczny i pozostałe dobra medyczne trwałego użytku (nieokreślone według funkcji) </t>
  </si>
  <si>
    <t>Pozostałe usługi zdrowotne, gdzie indziej niesklasyfikowane</t>
  </si>
  <si>
    <t>HC.9</t>
  </si>
  <si>
    <r>
      <t>2016</t>
    </r>
    <r>
      <rPr>
        <vertAlign val="superscript"/>
        <sz val="9.5"/>
        <rFont val="Arial"/>
        <family val="2"/>
        <charset val="238"/>
      </rPr>
      <t>b</t>
    </r>
  </si>
  <si>
    <r>
      <rPr>
        <vertAlign val="superscript"/>
        <sz val="9.5"/>
        <rFont val="Arial"/>
        <family val="2"/>
        <charset val="238"/>
      </rPr>
      <t xml:space="preserve">a  </t>
    </r>
    <r>
      <rPr>
        <sz val="9.5"/>
        <rFont val="Arial"/>
        <family val="2"/>
        <charset val="238"/>
      </rPr>
      <t>Bez Wydatków bezpośrednich gospodarstw domowych, które według metodologii SHA 2011 ujęte są w odrębnej kategorii HF.3.</t>
    </r>
  </si>
  <si>
    <r>
      <rPr>
        <vertAlign val="superscript"/>
        <sz val="9.5"/>
        <rFont val="Arial"/>
        <family val="2"/>
        <charset val="238"/>
      </rPr>
      <t>c</t>
    </r>
    <r>
      <rPr>
        <sz val="9.5"/>
        <rFont val="Arial"/>
        <family val="2"/>
        <charset val="238"/>
      </rPr>
      <t xml:space="preserve"> Dane wstępne NRZ.</t>
    </r>
  </si>
  <si>
    <r>
      <rPr>
        <vertAlign val="superscript"/>
        <sz val="9.5"/>
        <color theme="1"/>
        <rFont val="Arial"/>
        <family val="2"/>
        <charset val="238"/>
      </rPr>
      <t>d</t>
    </r>
    <r>
      <rPr>
        <sz val="9.5"/>
        <color theme="1"/>
        <rFont val="Arial"/>
        <family val="2"/>
        <charset val="238"/>
      </rPr>
      <t xml:space="preserve"> Wstępne szacunki.</t>
    </r>
  </si>
  <si>
    <r>
      <t>Wydatki prywatne</t>
    </r>
    <r>
      <rPr>
        <vertAlign val="superscript"/>
        <sz val="9.5"/>
        <rFont val="Arial"/>
        <family val="2"/>
        <charset val="238"/>
      </rPr>
      <t>a</t>
    </r>
  </si>
  <si>
    <r>
      <t>2015</t>
    </r>
    <r>
      <rPr>
        <vertAlign val="superscript"/>
        <sz val="9.5"/>
        <color theme="1"/>
        <rFont val="Arial"/>
        <family val="2"/>
        <charset val="238"/>
      </rPr>
      <t>a</t>
    </r>
  </si>
  <si>
    <r>
      <t>2016</t>
    </r>
    <r>
      <rPr>
        <vertAlign val="superscript"/>
        <sz val="9.5"/>
        <rFont val="Arial"/>
        <family val="2"/>
        <charset val="238"/>
      </rPr>
      <t>a</t>
    </r>
  </si>
  <si>
    <r>
      <t>2022</t>
    </r>
    <r>
      <rPr>
        <vertAlign val="superscript"/>
        <sz val="9.5"/>
        <color theme="1"/>
        <rFont val="Arial"/>
        <family val="2"/>
        <charset val="238"/>
      </rPr>
      <t>b</t>
    </r>
  </si>
  <si>
    <r>
      <rPr>
        <vertAlign val="superscript"/>
        <sz val="9.5"/>
        <rFont val="Arial"/>
        <family val="2"/>
        <charset val="238"/>
      </rPr>
      <t>b</t>
    </r>
    <r>
      <rPr>
        <sz val="9.5"/>
        <rFont val="Arial"/>
        <family val="2"/>
        <charset val="238"/>
      </rPr>
      <t xml:space="preserve"> Dane wstępne.</t>
    </r>
  </si>
  <si>
    <r>
      <t>2021</t>
    </r>
    <r>
      <rPr>
        <vertAlign val="superscript"/>
        <sz val="9.5"/>
        <color theme="1"/>
        <rFont val="Arial"/>
        <family val="2"/>
        <charset val="238"/>
      </rPr>
      <t>b</t>
    </r>
  </si>
  <si>
    <t>Systemy rządowe i samorządowe</t>
  </si>
  <si>
    <t>Systemy obowiązkowych, składkowych ubezpieczeń zdrowotnych</t>
  </si>
  <si>
    <t>Systemy dobrowolnych ubezpieczeń zdrowotnych</t>
  </si>
  <si>
    <t>Systemy instytucji niekomercyjnych działających na rzecz gospodarstw domowych (NPISH)</t>
  </si>
  <si>
    <t>System bezpośrednich wydatków gospodarstw domowych</t>
  </si>
  <si>
    <t>Zagraniczne systemy finansowania (reszta świata)</t>
  </si>
  <si>
    <t>Opieka rehabilitacyjna</t>
  </si>
  <si>
    <t>Opieka długoterminowa (zdrowotna)</t>
  </si>
  <si>
    <t>Usługi pomocnicze w ochronie zdrowia (nieokreślone według funkcji)</t>
  </si>
  <si>
    <t xml:space="preserve">Produkty medyczne  (nieokreślone według funkcji)
</t>
  </si>
  <si>
    <t>Opieka profilaktyczna</t>
  </si>
  <si>
    <t xml:space="preserve">Zarządzanie, administrowanie i finanse systemu ochrony zdrowia </t>
  </si>
  <si>
    <t>Dostawcy świadczeń pomocniczych</t>
  </si>
  <si>
    <t xml:space="preserve">Sprzedawcy detaliczni i inni dostawcy dóbr medycznych </t>
  </si>
  <si>
    <t xml:space="preserve">Dostawcy świadczeń z zakresu opieki profilaktycznej </t>
  </si>
  <si>
    <t xml:space="preserve">Podmioty zaangażowane w funkcjonowanie systemu zarzadzania, administracji i finansowania ochrony zdrowia 
</t>
  </si>
  <si>
    <t xml:space="preserve">Pozostałe sektory gospodarki  </t>
  </si>
  <si>
    <t>Zagranica</t>
  </si>
  <si>
    <t>Tabl. 2. Wydatki bieżące na ochronę zdrowia według systemów finansowania (na podstawie Narodowego Rachunku Zdrowia)</t>
  </si>
  <si>
    <t>Tabl. 5. Wydatki bieżące na ochronę zdrowia według przychodów systemów finansowania (na podstawie Narodowego Rachunku Zdrowia)</t>
  </si>
  <si>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Dane zaktualizowane, zgodne z bazą OECD https://data-explorer.oecd.org/ na dzień 09.07.2024 r.</t>
    </r>
  </si>
  <si>
    <r>
      <t>2015</t>
    </r>
    <r>
      <rPr>
        <vertAlign val="superscript"/>
        <sz val="9.5"/>
        <rFont val="Arial"/>
        <family val="2"/>
        <charset val="238"/>
      </rPr>
      <t>a</t>
    </r>
  </si>
  <si>
    <r>
      <t>2022</t>
    </r>
    <r>
      <rPr>
        <vertAlign val="superscript"/>
        <sz val="9.5"/>
        <rFont val="Arial"/>
        <family val="2"/>
        <charset val="238"/>
      </rPr>
      <t>b</t>
    </r>
  </si>
  <si>
    <r>
      <rPr>
        <vertAlign val="superscript"/>
        <sz val="9.5"/>
        <rFont val="Arial"/>
        <family val="2"/>
        <charset val="238"/>
      </rPr>
      <t xml:space="preserve">a </t>
    </r>
    <r>
      <rPr>
        <sz val="9.5"/>
        <rFont val="Arial"/>
        <family val="2"/>
        <charset val="238"/>
      </rPr>
      <t>Dane zaktualizowane, zgodne z bazą OECD https://data-explorer.oecd.org/ na dzień 09.07.2024 r.</t>
    </r>
  </si>
  <si>
    <t>Tablica 2.  Wydatki bieżące na ochronę zdrowia według systemów finansowania (na podstawie Narodowego Rachunku Zdrowia)</t>
  </si>
  <si>
    <r>
      <t>2015</t>
    </r>
    <r>
      <rPr>
        <vertAlign val="superscript"/>
        <sz val="9.5"/>
        <rFont val="Arial"/>
        <family val="2"/>
        <charset val="238"/>
      </rPr>
      <t>b</t>
    </r>
  </si>
  <si>
    <r>
      <t>2022</t>
    </r>
    <r>
      <rPr>
        <vertAlign val="superscript"/>
        <sz val="9.5"/>
        <rFont val="Arial"/>
        <family val="2"/>
        <charset val="238"/>
      </rPr>
      <t>c</t>
    </r>
  </si>
  <si>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 Bez wydatków bezpośrednich z gospodarstw domowych, które według metodologii SHA 2011 ujęte są w odrębnej kategorii HF.3.</t>
    </r>
  </si>
  <si>
    <r>
      <rPr>
        <vertAlign val="superscript"/>
        <sz val="9.5"/>
        <rFont val="Arial"/>
        <family val="2"/>
        <charset val="238"/>
      </rPr>
      <t>b</t>
    </r>
    <r>
      <rPr>
        <sz val="9.5"/>
        <rFont val="Arial"/>
        <family val="2"/>
        <charset val="238"/>
      </rPr>
      <t xml:space="preserve"> Dane zaktualizowane, zgodne z bazą OECD https://data-explorer.oecd.org/ na dzień 09.07.2024 r.</t>
    </r>
  </si>
  <si>
    <r>
      <t>Wydatki prywatne</t>
    </r>
    <r>
      <rPr>
        <vertAlign val="superscript"/>
        <sz val="9.5"/>
        <rFont val="Arial"/>
        <family val="2"/>
        <charset val="238"/>
      </rPr>
      <t xml:space="preserve">a </t>
    </r>
    <r>
      <rPr>
        <sz val="9.5"/>
        <rFont val="Arial"/>
        <family val="2"/>
        <charset val="238"/>
      </rPr>
      <t>(HF.2)</t>
    </r>
  </si>
  <si>
    <r>
      <t>2023</t>
    </r>
    <r>
      <rPr>
        <vertAlign val="superscript"/>
        <sz val="9.5"/>
        <rFont val="Arial"/>
        <family val="2"/>
        <charset val="238"/>
      </rPr>
      <t>d</t>
    </r>
  </si>
  <si>
    <t>Produkt krajowy brutto w mln zł</t>
  </si>
  <si>
    <r>
      <t xml:space="preserve"> plan</t>
    </r>
    <r>
      <rPr>
        <vertAlign val="superscript"/>
        <sz val="9.5"/>
        <rFont val="Arial"/>
        <family val="2"/>
        <charset val="238"/>
      </rPr>
      <t>b</t>
    </r>
  </si>
  <si>
    <r>
      <t>w % PKB roku N-2</t>
    </r>
    <r>
      <rPr>
        <vertAlign val="superscript"/>
        <sz val="9.5"/>
        <rFont val="Arial"/>
        <family val="2"/>
        <charset val="238"/>
      </rPr>
      <t>c</t>
    </r>
  </si>
  <si>
    <r>
      <t>w % PKB roku N</t>
    </r>
    <r>
      <rPr>
        <vertAlign val="superscript"/>
        <sz val="9.5"/>
        <rFont val="Arial"/>
        <family val="2"/>
        <charset val="238"/>
      </rPr>
      <t>d</t>
    </r>
  </si>
  <si>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Zgodnie z art. 131c ust. 3 ustawy o świadczeniach opieki zdrowotnej finansowanych ze środków publicznych.</t>
    </r>
  </si>
  <si>
    <r>
      <rPr>
        <vertAlign val="superscript"/>
        <sz val="9.5"/>
        <rFont val="Arial"/>
        <family val="2"/>
        <charset val="238"/>
      </rPr>
      <t>b</t>
    </r>
    <r>
      <rPr>
        <sz val="9.5"/>
        <rFont val="Arial"/>
        <family val="2"/>
        <charset val="238"/>
      </rPr>
      <t xml:space="preserve"> Zgodnie z ustawą budżetową.</t>
    </r>
  </si>
  <si>
    <r>
      <rPr>
        <vertAlign val="superscript"/>
        <sz val="9.5"/>
        <rFont val="Arial"/>
        <family val="2"/>
        <charset val="238"/>
      </rPr>
      <t>c</t>
    </r>
    <r>
      <rPr>
        <sz val="9.5"/>
        <rFont val="Arial"/>
        <family val="2"/>
        <charset val="238"/>
      </rPr>
      <t xml:space="preserve"> Zgodnie z art. 131c ust. 2 ustawy o świadczeniach opieki zdrowotnej finansowanych ze środków publicznych.</t>
    </r>
  </si>
  <si>
    <r>
      <rPr>
        <vertAlign val="superscript"/>
        <sz val="9.5"/>
        <rFont val="Arial"/>
        <family val="2"/>
        <charset val="238"/>
      </rPr>
      <t>d</t>
    </r>
    <r>
      <rPr>
        <sz val="9.5"/>
        <rFont val="Arial"/>
        <family val="2"/>
        <charset val="238"/>
      </rPr>
      <t xml:space="preserve"> W odniesieniu do aktualnych wartości PKB. Źródło: dane o PKB dostępne na stronie: https://stat.gov.pl/wskazniki-makroekonomiczne/ - aktualizacja 09.07.2024 r.</t>
    </r>
  </si>
  <si>
    <r>
      <t>Tablica 6. Nakłady na ochronę zdrowia (zgodnie z metodologią "ustawową")</t>
    </r>
    <r>
      <rPr>
        <b/>
        <vertAlign val="superscript"/>
        <sz val="9.5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</si>
</sst>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"/>
    <numFmt numFmtId="166" formatCode="0.0%"/>
    <numFmt numFmtId="167" formatCode="#,##0.0"/>
  </numFmts>
  <fonts count="4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FF0000"/>
      <name val="Arial"/>
      <family val="2"/>
      <charset val="238"/>
    </font>
    <font>
      <sz val="9.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name val="Arial"/>
      <family val="2"/>
      <charset val="238"/>
    </font>
    <font>
      <vertAlign val="superscript"/>
      <sz val="9.5"/>
      <name val="Arial"/>
      <family val="2"/>
      <charset val="238"/>
    </font>
    <font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b/>
      <vertAlign val="superscript"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7" fillId="0" borderId="0"/>
    <xf numFmtId="0" fontId="18" fillId="0" borderId="0"/>
    <xf numFmtId="0" fontId="10" fillId="0" borderId="0"/>
    <xf numFmtId="0" fontId="19" fillId="0" borderId="0"/>
    <xf numFmtId="0" fontId="6" fillId="0" borderId="0"/>
    <xf numFmtId="0" fontId="19" fillId="0" borderId="0" applyFill="0"/>
    <xf numFmtId="0" fontId="19" fillId="0" borderId="0" applyFill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22" fillId="0" borderId="0"/>
    <xf numFmtId="0" fontId="17" fillId="0" borderId="0"/>
    <xf numFmtId="0" fontId="19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9" fontId="1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>
      <alignment wrapText="1"/>
    </xf>
    <xf numFmtId="0" fontId="19" fillId="0" borderId="0">
      <alignment wrapText="1"/>
    </xf>
    <xf numFmtId="0" fontId="27" fillId="0" borderId="0" applyNumberFormat="0" applyFill="0" applyBorder="0" applyAlignment="0" applyProtection="0">
      <alignment wrapText="1"/>
    </xf>
  </cellStyleXfs>
  <cellXfs count="215">
    <xf numFmtId="0" fontId="0" fillId="0" borderId="0" xfId="0"/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3" fontId="0" fillId="0" borderId="3" xfId="0" applyNumberForma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3" fontId="0" fillId="0" borderId="5" xfId="0" applyNumberFormat="1" applyBorder="1" applyAlignment="1">
      <alignment vertical="center" wrapText="1"/>
    </xf>
    <xf numFmtId="3" fontId="0" fillId="0" borderId="6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0" fillId="0" borderId="9" xfId="0" applyNumberFormat="1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3" fontId="0" fillId="0" borderId="11" xfId="0" applyNumberFormat="1" applyBorder="1" applyAlignment="1">
      <alignment vertical="center" wrapText="1"/>
    </xf>
    <xf numFmtId="3" fontId="0" fillId="0" borderId="12" xfId="0" applyNumberForma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3" fontId="1" fillId="0" borderId="14" xfId="0" applyNumberFormat="1" applyFont="1" applyBorder="1" applyAlignment="1">
      <alignment vertical="center" wrapText="1"/>
    </xf>
    <xf numFmtId="3" fontId="1" fillId="0" borderId="15" xfId="0" applyNumberFormat="1" applyFont="1" applyBorder="1" applyAlignment="1">
      <alignment vertical="center" wrapText="1"/>
    </xf>
    <xf numFmtId="3" fontId="1" fillId="0" borderId="16" xfId="0" applyNumberFormat="1" applyFont="1" applyBorder="1" applyAlignment="1">
      <alignment vertical="center" wrapText="1"/>
    </xf>
    <xf numFmtId="3" fontId="1" fillId="0" borderId="17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0" xfId="0" applyFont="1" applyBorder="1" applyAlignment="1">
      <alignment vertical="center" wrapText="1"/>
    </xf>
    <xf numFmtId="10" fontId="1" fillId="0" borderId="21" xfId="0" applyNumberFormat="1" applyFont="1" applyBorder="1" applyAlignment="1">
      <alignment vertical="center" wrapText="1"/>
    </xf>
    <xf numFmtId="10" fontId="1" fillId="0" borderId="22" xfId="0" applyNumberFormat="1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0" fillId="0" borderId="6" xfId="0" applyNumberFormat="1" applyFill="1" applyBorder="1" applyAlignment="1">
      <alignment vertical="center" wrapText="1"/>
    </xf>
    <xf numFmtId="3" fontId="0" fillId="0" borderId="5" xfId="0" applyNumberForma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 wrapText="1"/>
    </xf>
    <xf numFmtId="3" fontId="2" fillId="0" borderId="5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0" fontId="1" fillId="0" borderId="0" xfId="0" applyNumberFormat="1" applyFont="1" applyBorder="1" applyAlignment="1">
      <alignment vertical="center" wrapText="1"/>
    </xf>
    <xf numFmtId="10" fontId="1" fillId="0" borderId="26" xfId="0" applyNumberFormat="1" applyFont="1" applyBorder="1" applyAlignment="1">
      <alignment vertical="center" wrapText="1"/>
    </xf>
    <xf numFmtId="10" fontId="1" fillId="0" borderId="27" xfId="0" applyNumberFormat="1" applyFont="1" applyBorder="1" applyAlignment="1">
      <alignment vertical="center" wrapText="1"/>
    </xf>
    <xf numFmtId="10" fontId="1" fillId="0" borderId="28" xfId="0" applyNumberFormat="1" applyFont="1" applyBorder="1" applyAlignment="1">
      <alignment vertical="center" wrapText="1"/>
    </xf>
    <xf numFmtId="10" fontId="1" fillId="0" borderId="14" xfId="0" applyNumberFormat="1" applyFont="1" applyBorder="1" applyAlignment="1">
      <alignment vertical="center" wrapText="1"/>
    </xf>
    <xf numFmtId="10" fontId="1" fillId="0" borderId="16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3" fontId="0" fillId="0" borderId="0" xfId="0" applyNumberForma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4" xfId="0" applyBorder="1"/>
    <xf numFmtId="3" fontId="0" fillId="0" borderId="0" xfId="0" applyNumberFormat="1" applyFont="1" applyBorder="1" applyAlignment="1">
      <alignment vertical="center" wrapText="1"/>
    </xf>
    <xf numFmtId="0" fontId="9" fillId="0" borderId="4" xfId="0" applyFont="1" applyFill="1" applyBorder="1" applyAlignment="1">
      <alignment horizontal="right" vertical="center" wrapText="1" readingOrder="1"/>
    </xf>
    <xf numFmtId="3" fontId="9" fillId="0" borderId="4" xfId="0" applyNumberFormat="1" applyFont="1" applyFill="1" applyBorder="1" applyAlignment="1">
      <alignment horizontal="right" vertical="center" wrapText="1" readingOrder="1"/>
    </xf>
    <xf numFmtId="0" fontId="7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10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0" fontId="12" fillId="0" borderId="4" xfId="0" applyNumberFormat="1" applyFont="1" applyBorder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165" fontId="0" fillId="0" borderId="4" xfId="0" applyNumberFormat="1" applyBorder="1"/>
    <xf numFmtId="9" fontId="0" fillId="0" borderId="4" xfId="1" applyFont="1" applyBorder="1"/>
    <xf numFmtId="0" fontId="1" fillId="0" borderId="30" xfId="0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10" fontId="1" fillId="0" borderId="4" xfId="1" applyNumberFormat="1" applyFont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10" fontId="7" fillId="0" borderId="0" xfId="1" applyNumberFormat="1" applyFont="1" applyAlignment="1">
      <alignment horizontal="center" vertical="center"/>
    </xf>
    <xf numFmtId="0" fontId="8" fillId="0" borderId="4" xfId="0" applyFont="1" applyFill="1" applyBorder="1" applyAlignment="1">
      <alignment horizontal="right" vertical="center" wrapText="1" readingOrder="1"/>
    </xf>
    <xf numFmtId="0" fontId="7" fillId="0" borderId="4" xfId="0" applyFont="1" applyBorder="1" applyAlignment="1">
      <alignment horizontal="right" vertical="center"/>
    </xf>
    <xf numFmtId="164" fontId="8" fillId="0" borderId="4" xfId="2" applyNumberFormat="1" applyFont="1" applyFill="1" applyBorder="1" applyAlignment="1">
      <alignment horizontal="right" vertical="center" wrapText="1" readingOrder="1"/>
    </xf>
    <xf numFmtId="164" fontId="7" fillId="0" borderId="4" xfId="2" applyNumberFormat="1" applyFont="1" applyBorder="1" applyAlignment="1">
      <alignment horizontal="right" vertical="center"/>
    </xf>
    <xf numFmtId="10" fontId="9" fillId="0" borderId="4" xfId="0" applyNumberFormat="1" applyFont="1" applyFill="1" applyBorder="1" applyAlignment="1">
      <alignment horizontal="right" vertical="center" wrapText="1" readingOrder="1"/>
    </xf>
    <xf numFmtId="10" fontId="7" fillId="0" borderId="4" xfId="1" applyNumberFormat="1" applyFont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 wrapText="1" readingOrder="1"/>
    </xf>
    <xf numFmtId="3" fontId="7" fillId="2" borderId="4" xfId="0" applyNumberFormat="1" applyFont="1" applyFill="1" applyBorder="1" applyAlignment="1">
      <alignment horizontal="right" vertical="center" wrapText="1" readingOrder="1"/>
    </xf>
    <xf numFmtId="10" fontId="9" fillId="2" borderId="4" xfId="0" applyNumberFormat="1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/>
    </xf>
    <xf numFmtId="164" fontId="9" fillId="0" borderId="4" xfId="2" applyNumberFormat="1" applyFont="1" applyFill="1" applyBorder="1" applyAlignment="1">
      <alignment horizontal="right" vertical="center" wrapText="1" readingOrder="1"/>
    </xf>
    <xf numFmtId="3" fontId="14" fillId="3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9" fillId="0" borderId="4" xfId="3" applyFont="1" applyBorder="1" applyAlignment="1">
      <alignment vertical="center" wrapText="1"/>
    </xf>
    <xf numFmtId="3" fontId="15" fillId="3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10" fontId="15" fillId="3" borderId="4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 wrapText="1"/>
    </xf>
    <xf numFmtId="3" fontId="14" fillId="3" borderId="4" xfId="0" applyNumberFormat="1" applyFont="1" applyFill="1" applyBorder="1" applyAlignment="1">
      <alignment vertical="center" wrapText="1"/>
    </xf>
    <xf numFmtId="10" fontId="14" fillId="3" borderId="4" xfId="0" applyNumberFormat="1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166" fontId="1" fillId="0" borderId="0" xfId="1" applyNumberFormat="1" applyFont="1" applyAlignment="1">
      <alignment vertical="center" wrapText="1"/>
    </xf>
    <xf numFmtId="0" fontId="14" fillId="3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24" fillId="0" borderId="0" xfId="0" applyFont="1" applyBorder="1"/>
    <xf numFmtId="167" fontId="24" fillId="0" borderId="0" xfId="0" applyNumberFormat="1" applyFont="1"/>
    <xf numFmtId="167" fontId="28" fillId="0" borderId="0" xfId="0" applyNumberFormat="1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29" fillId="0" borderId="0" xfId="0" applyFont="1" applyAlignment="1"/>
    <xf numFmtId="0" fontId="29" fillId="0" borderId="35" xfId="0" applyFont="1" applyFill="1" applyBorder="1" applyAlignment="1">
      <alignment horizontal="right"/>
    </xf>
    <xf numFmtId="0" fontId="33" fillId="0" borderId="35" xfId="0" applyFont="1" applyFill="1" applyBorder="1" applyAlignment="1">
      <alignment horizontal="right"/>
    </xf>
    <xf numFmtId="0" fontId="33" fillId="0" borderId="35" xfId="0" applyFont="1" applyBorder="1"/>
    <xf numFmtId="0" fontId="33" fillId="0" borderId="35" xfId="0" applyFont="1" applyBorder="1" applyAlignment="1">
      <alignment horizontal="right"/>
    </xf>
    <xf numFmtId="0" fontId="29" fillId="0" borderId="35" xfId="0" applyFont="1" applyBorder="1" applyAlignment="1">
      <alignment horizontal="right"/>
    </xf>
    <xf numFmtId="167" fontId="33" fillId="0" borderId="35" xfId="0" applyNumberFormat="1" applyFont="1" applyBorder="1" applyAlignment="1">
      <alignment horizontal="right" vertical="center"/>
    </xf>
    <xf numFmtId="0" fontId="33" fillId="0" borderId="0" xfId="0" applyFont="1"/>
    <xf numFmtId="0" fontId="33" fillId="0" borderId="4" xfId="5" applyFont="1" applyFill="1" applyBorder="1" applyAlignment="1">
      <alignment horizontal="center"/>
    </xf>
    <xf numFmtId="0" fontId="33" fillId="0" borderId="38" xfId="5" applyFont="1" applyFill="1" applyBorder="1" applyAlignment="1">
      <alignment horizontal="center"/>
    </xf>
    <xf numFmtId="0" fontId="33" fillId="0" borderId="39" xfId="5" applyFont="1" applyFill="1" applyBorder="1" applyAlignment="1">
      <alignment horizontal="center"/>
    </xf>
    <xf numFmtId="0" fontId="33" fillId="0" borderId="10" xfId="5" applyFont="1" applyFill="1" applyBorder="1" applyAlignment="1">
      <alignment horizontal="center"/>
    </xf>
    <xf numFmtId="0" fontId="33" fillId="0" borderId="37" xfId="5" applyFont="1" applyFill="1" applyBorder="1" applyAlignment="1">
      <alignment horizontal="center"/>
    </xf>
    <xf numFmtId="0" fontId="33" fillId="0" borderId="4" xfId="6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9" fillId="0" borderId="33" xfId="0" applyFont="1" applyBorder="1"/>
    <xf numFmtId="167" fontId="33" fillId="0" borderId="34" xfId="0" applyNumberFormat="1" applyFont="1" applyBorder="1" applyAlignment="1">
      <alignment horizontal="right" vertical="center"/>
    </xf>
    <xf numFmtId="0" fontId="29" fillId="0" borderId="0" xfId="0" applyFont="1" applyBorder="1"/>
    <xf numFmtId="0" fontId="33" fillId="0" borderId="6" xfId="5" applyFont="1" applyFill="1" applyBorder="1" applyAlignment="1">
      <alignment horizontal="center" vertical="center"/>
    </xf>
    <xf numFmtId="0" fontId="33" fillId="0" borderId="4" xfId="5" applyFont="1" applyFill="1" applyBorder="1" applyAlignment="1">
      <alignment horizontal="center" vertical="center"/>
    </xf>
    <xf numFmtId="0" fontId="33" fillId="0" borderId="40" xfId="5" applyFont="1" applyFill="1" applyBorder="1" applyAlignment="1">
      <alignment horizontal="center" vertical="center"/>
    </xf>
    <xf numFmtId="0" fontId="33" fillId="0" borderId="29" xfId="5" applyFont="1" applyFill="1" applyBorder="1" applyAlignment="1">
      <alignment horizontal="center" vertical="center"/>
    </xf>
    <xf numFmtId="167" fontId="30" fillId="0" borderId="0" xfId="0" applyNumberFormat="1" applyFont="1"/>
    <xf numFmtId="0" fontId="35" fillId="0" borderId="0" xfId="0" applyFont="1"/>
    <xf numFmtId="0" fontId="36" fillId="0" borderId="0" xfId="35" applyFont="1"/>
    <xf numFmtId="0" fontId="25" fillId="0" borderId="0" xfId="35" applyFill="1"/>
    <xf numFmtId="167" fontId="33" fillId="0" borderId="33" xfId="0" applyNumberFormat="1" applyFont="1" applyBorder="1" applyAlignment="1">
      <alignment horizontal="right" vertical="center"/>
    </xf>
    <xf numFmtId="167" fontId="33" fillId="0" borderId="33" xfId="0" applyNumberFormat="1" applyFont="1" applyBorder="1"/>
    <xf numFmtId="167" fontId="33" fillId="3" borderId="35" xfId="0" applyNumberFormat="1" applyFont="1" applyFill="1" applyBorder="1" applyAlignment="1">
      <alignment horizontal="right" vertical="center"/>
    </xf>
    <xf numFmtId="0" fontId="33" fillId="0" borderId="0" xfId="0" applyFont="1" applyBorder="1"/>
    <xf numFmtId="0" fontId="37" fillId="0" borderId="0" xfId="0" applyFont="1"/>
    <xf numFmtId="0" fontId="33" fillId="0" borderId="6" xfId="6" applyFont="1" applyFill="1" applyBorder="1" applyAlignment="1">
      <alignment horizontal="center" vertical="center" wrapText="1"/>
    </xf>
    <xf numFmtId="0" fontId="33" fillId="0" borderId="4" xfId="6" applyFont="1" applyFill="1" applyBorder="1" applyAlignment="1">
      <alignment horizontal="center" vertical="center" wrapText="1"/>
    </xf>
    <xf numFmtId="0" fontId="33" fillId="0" borderId="29" xfId="6" applyFont="1" applyFill="1" applyBorder="1" applyAlignment="1">
      <alignment horizontal="center" vertical="center" wrapText="1"/>
    </xf>
    <xf numFmtId="0" fontId="33" fillId="0" borderId="34" xfId="0" applyFont="1" applyFill="1" applyBorder="1" applyAlignment="1">
      <alignment horizontal="center" vertical="center"/>
    </xf>
    <xf numFmtId="0" fontId="33" fillId="0" borderId="33" xfId="0" applyFont="1" applyFill="1" applyBorder="1"/>
    <xf numFmtId="167" fontId="33" fillId="0" borderId="35" xfId="0" applyNumberFormat="1" applyFont="1" applyFill="1" applyBorder="1" applyAlignment="1">
      <alignment horizontal="right" vertical="center"/>
    </xf>
    <xf numFmtId="167" fontId="33" fillId="0" borderId="33" xfId="0" applyNumberFormat="1" applyFont="1" applyFill="1" applyBorder="1" applyAlignment="1">
      <alignment horizontal="right" vertical="center"/>
    </xf>
    <xf numFmtId="167" fontId="33" fillId="0" borderId="34" xfId="0" applyNumberFormat="1" applyFont="1" applyFill="1" applyBorder="1" applyAlignment="1">
      <alignment horizontal="right" vertical="center"/>
    </xf>
    <xf numFmtId="167" fontId="33" fillId="0" borderId="33" xfId="0" applyNumberFormat="1" applyFont="1" applyFill="1" applyBorder="1"/>
    <xf numFmtId="167" fontId="33" fillId="0" borderId="0" xfId="0" applyNumberFormat="1" applyFont="1" applyFill="1"/>
    <xf numFmtId="0" fontId="33" fillId="0" borderId="0" xfId="0" applyFont="1" applyFill="1"/>
    <xf numFmtId="0" fontId="33" fillId="0" borderId="0" xfId="0" applyFont="1" applyFill="1" applyBorder="1"/>
    <xf numFmtId="0" fontId="37" fillId="0" borderId="0" xfId="0" applyFont="1" applyFill="1"/>
    <xf numFmtId="167" fontId="33" fillId="0" borderId="0" xfId="0" applyNumberFormat="1" applyFont="1" applyFill="1" applyBorder="1" applyAlignment="1">
      <alignment horizontal="right" vertical="center"/>
    </xf>
    <xf numFmtId="0" fontId="38" fillId="0" borderId="0" xfId="0" applyFont="1" applyFill="1"/>
    <xf numFmtId="0" fontId="33" fillId="0" borderId="0" xfId="0" applyFont="1" applyFill="1" applyBorder="1" applyAlignment="1"/>
    <xf numFmtId="0" fontId="33" fillId="0" borderId="4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165" fontId="33" fillId="0" borderId="33" xfId="0" applyNumberFormat="1" applyFont="1" applyBorder="1"/>
    <xf numFmtId="3" fontId="33" fillId="0" borderId="33" xfId="0" applyNumberFormat="1" applyFont="1" applyBorder="1"/>
    <xf numFmtId="3" fontId="33" fillId="0" borderId="33" xfId="9" applyNumberFormat="1" applyFont="1" applyBorder="1" applyAlignment="1">
      <alignment horizontal="right" wrapText="1"/>
    </xf>
    <xf numFmtId="0" fontId="33" fillId="0" borderId="4" xfId="0" applyFont="1" applyBorder="1" applyAlignment="1">
      <alignment horizontal="center" vertical="center" wrapText="1"/>
    </xf>
    <xf numFmtId="0" fontId="33" fillId="0" borderId="4" xfId="0" quotePrefix="1" applyFont="1" applyBorder="1" applyAlignment="1">
      <alignment vertical="center" wrapText="1"/>
    </xf>
    <xf numFmtId="3" fontId="33" fillId="0" borderId="4" xfId="0" applyNumberFormat="1" applyFont="1" applyBorder="1" applyAlignment="1">
      <alignment vertical="center" wrapText="1"/>
    </xf>
    <xf numFmtId="2" fontId="29" fillId="0" borderId="4" xfId="0" applyNumberFormat="1" applyFont="1" applyBorder="1"/>
    <xf numFmtId="4" fontId="33" fillId="0" borderId="4" xfId="0" applyNumberFormat="1" applyFont="1" applyBorder="1" applyAlignment="1">
      <alignment vertical="center" wrapText="1"/>
    </xf>
    <xf numFmtId="0" fontId="33" fillId="0" borderId="4" xfId="0" quotePrefix="1" applyFont="1" applyBorder="1" applyAlignment="1">
      <alignment horizontal="right" vertical="center" wrapText="1"/>
    </xf>
    <xf numFmtId="0" fontId="33" fillId="0" borderId="4" xfId="0" applyFont="1" applyBorder="1" applyAlignment="1">
      <alignment vertical="center" wrapText="1"/>
    </xf>
    <xf numFmtId="3" fontId="33" fillId="0" borderId="4" xfId="0" applyNumberFormat="1" applyFont="1" applyBorder="1" applyAlignment="1">
      <alignment horizontal="right" vertical="center" wrapText="1"/>
    </xf>
    <xf numFmtId="2" fontId="33" fillId="0" borderId="4" xfId="0" applyNumberFormat="1" applyFont="1" applyBorder="1"/>
    <xf numFmtId="0" fontId="39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0" fontId="8" fillId="0" borderId="31" xfId="0" applyFont="1" applyFill="1" applyBorder="1" applyAlignment="1">
      <alignment horizontal="center" vertical="center" wrapText="1" readingOrder="1"/>
    </xf>
    <xf numFmtId="0" fontId="8" fillId="0" borderId="6" xfId="0" applyFont="1" applyFill="1" applyBorder="1" applyAlignment="1">
      <alignment horizontal="center" vertical="center" wrapText="1" readingOrder="1"/>
    </xf>
    <xf numFmtId="0" fontId="14" fillId="3" borderId="4" xfId="0" quotePrefix="1" applyNumberFormat="1" applyFont="1" applyFill="1" applyBorder="1" applyAlignment="1">
      <alignment horizontal="center" vertical="center" wrapText="1"/>
    </xf>
    <xf numFmtId="0" fontId="14" fillId="3" borderId="4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32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 wrapText="1"/>
    </xf>
    <xf numFmtId="0" fontId="33" fillId="0" borderId="3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/>
    </xf>
    <xf numFmtId="0" fontId="33" fillId="0" borderId="4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33" fillId="0" borderId="0" xfId="0" applyFont="1" applyAlignment="1">
      <alignment horizontal="center"/>
    </xf>
  </cellXfs>
  <cellStyles count="39">
    <cellStyle name="[StdExit()]" xfId="12" xr:uid="{00000000-0005-0000-0000-000000000000}"/>
    <cellStyle name="Dziesiętny" xfId="2" builtinId="3"/>
    <cellStyle name="Hiperłącze" xfId="35" builtinId="8"/>
    <cellStyle name="Hiperłącze 2" xfId="38" xr:uid="{00000000-0005-0000-0000-000003000000}"/>
    <cellStyle name="Hyperlink 2" xfId="13" xr:uid="{00000000-0005-0000-0000-000004000000}"/>
    <cellStyle name="Normal 2" xfId="5" xr:uid="{00000000-0005-0000-0000-000005000000}"/>
    <cellStyle name="Normal 2 3" xfId="10" xr:uid="{00000000-0005-0000-0000-000006000000}"/>
    <cellStyle name="Normal 2 3 2" xfId="11" xr:uid="{00000000-0005-0000-0000-000007000000}"/>
    <cellStyle name="Normal 3" xfId="16" xr:uid="{00000000-0005-0000-0000-000008000000}"/>
    <cellStyle name="Normal 4" xfId="17" xr:uid="{00000000-0005-0000-0000-000009000000}"/>
    <cellStyle name="Normal_Aggregate Tables" xfId="18" xr:uid="{00000000-0005-0000-0000-00000A000000}"/>
    <cellStyle name="Normalny" xfId="0" builtinId="0"/>
    <cellStyle name="Normalny 10" xfId="25" xr:uid="{00000000-0005-0000-0000-00000C000000}"/>
    <cellStyle name="Normalny 11" xfId="21" xr:uid="{00000000-0005-0000-0000-00000D000000}"/>
    <cellStyle name="Normalny 12" xfId="23" xr:uid="{00000000-0005-0000-0000-00000E000000}"/>
    <cellStyle name="Normalny 12 2" xfId="27" xr:uid="{00000000-0005-0000-0000-00000F000000}"/>
    <cellStyle name="Normalny 2" xfId="3" xr:uid="{00000000-0005-0000-0000-000010000000}"/>
    <cellStyle name="Normalny 2 2" xfId="14" xr:uid="{00000000-0005-0000-0000-000011000000}"/>
    <cellStyle name="Normalny 2 2 2" xfId="28" xr:uid="{00000000-0005-0000-0000-000012000000}"/>
    <cellStyle name="Normalny 2 3" xfId="8" xr:uid="{00000000-0005-0000-0000-000013000000}"/>
    <cellStyle name="Normalny 2 3 2" xfId="24" xr:uid="{00000000-0005-0000-0000-000014000000}"/>
    <cellStyle name="Normalny 2 4" xfId="9" xr:uid="{00000000-0005-0000-0000-000015000000}"/>
    <cellStyle name="Normalny 2 5" xfId="37" xr:uid="{00000000-0005-0000-0000-000016000000}"/>
    <cellStyle name="Normalny 3" xfId="7" xr:uid="{00000000-0005-0000-0000-000017000000}"/>
    <cellStyle name="Normalny 3 2" xfId="31" xr:uid="{00000000-0005-0000-0000-000018000000}"/>
    <cellStyle name="Normalny 3 2 2" xfId="20" xr:uid="{00000000-0005-0000-0000-000019000000}"/>
    <cellStyle name="Normalny 4" xfId="6" xr:uid="{00000000-0005-0000-0000-00001A000000}"/>
    <cellStyle name="Normalny 4 2" xfId="32" xr:uid="{00000000-0005-0000-0000-00001B000000}"/>
    <cellStyle name="Normalny 5" xfId="22" xr:uid="{00000000-0005-0000-0000-00001C000000}"/>
    <cellStyle name="Normalny 5 2" xfId="33" xr:uid="{00000000-0005-0000-0000-00001D000000}"/>
    <cellStyle name="Normalny 6" xfId="36" xr:uid="{00000000-0005-0000-0000-00001E000000}"/>
    <cellStyle name="Normalny 6 2" xfId="30" xr:uid="{00000000-0005-0000-0000-00001F000000}"/>
    <cellStyle name="Normalny 7 3" xfId="26" xr:uid="{00000000-0005-0000-0000-000020000000}"/>
    <cellStyle name="Normalny 8 3" xfId="29" xr:uid="{00000000-0005-0000-0000-000021000000}"/>
    <cellStyle name="Procentowy" xfId="1" builtinId="5"/>
    <cellStyle name="Procentowy 2" xfId="4" xr:uid="{00000000-0005-0000-0000-000023000000}"/>
    <cellStyle name="Procentowy 2 2" xfId="34" xr:uid="{00000000-0005-0000-0000-000024000000}"/>
    <cellStyle name="Procentowy 3" xfId="15" xr:uid="{00000000-0005-0000-0000-000025000000}"/>
    <cellStyle name="Standaard 2" xfId="19" xr:uid="{00000000-0005-0000-0000-000026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Wzrost</a:t>
            </a:r>
            <a:r>
              <a:rPr lang="pl-PL" baseline="0"/>
              <a:t> nakładów na ochronę zdrowia w latach 2014- 2020 w mld zl</a:t>
            </a:r>
            <a:endParaRPr lang="pl-PL"/>
          </a:p>
        </c:rich>
      </c:tx>
      <c:layout>
        <c:manualLayout>
          <c:xMode val="edge"/>
          <c:yMode val="edge"/>
          <c:x val="0.19830983471839184"/>
          <c:y val="1.62074554294975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6211471392127043E-2"/>
          <c:y val="0.12022690437601298"/>
          <c:w val="0.93813907826709075"/>
          <c:h val="0.730426626169297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'Nakłady 2009-2020 wykres'!$D$4</c:f>
              <c:strCache>
                <c:ptCount val="1"/>
                <c:pt idx="0">
                  <c:v>Plan wg ustawy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wykres'!$D$11:$D$17</c:f>
              <c:numCache>
                <c:formatCode>General</c:formatCode>
                <c:ptCount val="7"/>
                <c:pt idx="0">
                  <c:v>73.400000000000006</c:v>
                </c:pt>
                <c:pt idx="1">
                  <c:v>74.7</c:v>
                </c:pt>
                <c:pt idx="2">
                  <c:v>79.8</c:v>
                </c:pt>
                <c:pt idx="3">
                  <c:v>84.6</c:v>
                </c:pt>
                <c:pt idx="4" formatCode="0.0">
                  <c:v>90</c:v>
                </c:pt>
                <c:pt idx="5">
                  <c:v>97.6</c:v>
                </c:pt>
                <c:pt idx="6">
                  <c:v>107.8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E-44E9-A392-2518BED72EC0}"/>
            </c:ext>
          </c:extLst>
        </c:ser>
        <c:ser>
          <c:idx val="1"/>
          <c:order val="1"/>
          <c:tx>
            <c:strRef>
              <c:f>'Nakłady 2009-2020 wykres'!$H$4</c:f>
              <c:strCache>
                <c:ptCount val="1"/>
                <c:pt idx="0">
                  <c:v>Wykonanie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6737580203260344E-3"/>
                  <c:y val="-2.6402640264026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BE-44E9-A392-2518BED72EC0}"/>
                </c:ext>
              </c:extLst>
            </c:dLbl>
            <c:dLbl>
              <c:idx val="2"/>
              <c:layout>
                <c:manualLayout>
                  <c:x val="7.5650106937680695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E-44E9-A392-2518BED72EC0}"/>
                </c:ext>
              </c:extLst>
            </c:dLbl>
            <c:dLbl>
              <c:idx val="3"/>
              <c:layout>
                <c:manualLayout>
                  <c:x val="9.4562633672100171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E-44E9-A392-2518BED72EC0}"/>
                </c:ext>
              </c:extLst>
            </c:dLbl>
            <c:dLbl>
              <c:idx val="4"/>
              <c:layout>
                <c:manualLayout>
                  <c:x val="1.1347516040652103E-2"/>
                  <c:y val="-1.65016501650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E-44E9-A392-2518BED72EC0}"/>
                </c:ext>
              </c:extLst>
            </c:dLbl>
            <c:dLbl>
              <c:idx val="5"/>
              <c:layout>
                <c:manualLayout>
                  <c:x val="5.6737580203259129E-3"/>
                  <c:y val="-1.3201320132013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BE-44E9-A392-2518BED72EC0}"/>
                </c:ext>
              </c:extLst>
            </c:dLbl>
            <c:dLbl>
              <c:idx val="6"/>
              <c:layout>
                <c:manualLayout>
                  <c:x val="1.1347516040651965E-2"/>
                  <c:y val="-3.30033003300333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E-44E9-A392-2518BED72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wykres'!$H$11:$H$17</c:f>
              <c:numCache>
                <c:formatCode>General</c:formatCode>
                <c:ptCount val="7"/>
                <c:pt idx="0">
                  <c:v>72.900000000000006</c:v>
                </c:pt>
                <c:pt idx="1">
                  <c:v>77.2</c:v>
                </c:pt>
                <c:pt idx="2">
                  <c:v>80.900000000000006</c:v>
                </c:pt>
                <c:pt idx="3">
                  <c:v>87.6</c:v>
                </c:pt>
                <c:pt idx="4">
                  <c:v>93.5</c:v>
                </c:pt>
                <c:pt idx="5">
                  <c:v>102.6</c:v>
                </c:pt>
                <c:pt idx="6">
                  <c:v>116.3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BE-44E9-A392-2518BED72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47697840"/>
        <c:axId val="1447701104"/>
        <c:axId val="0"/>
      </c:bar3DChart>
      <c:catAx>
        <c:axId val="144769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47701104"/>
        <c:crosses val="autoZero"/>
        <c:auto val="1"/>
        <c:lblAlgn val="ctr"/>
        <c:lblOffset val="100"/>
        <c:noMultiLvlLbl val="0"/>
      </c:catAx>
      <c:valAx>
        <c:axId val="144770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4769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Udział wydatków w nakładach na ochronę zdrowia </a:t>
            </a:r>
          </a:p>
          <a:p>
            <a:pPr>
              <a:defRPr/>
            </a:pPr>
            <a:r>
              <a:rPr lang="pl-PL"/>
              <a:t>wg kategorii wynikających z ustawy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337143088283544"/>
          <c:y val="0.15437542632285964"/>
          <c:w val="0.81466133930189943"/>
          <c:h val="0.1999057577099123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tabela!$B$3</c:f>
              <c:strCache>
                <c:ptCount val="1"/>
                <c:pt idx="0">
                  <c:v>Koszty Narodowego Funduszu Zdrowia ujęte w planie finansowym Funduszu z wyłączeniem środków z budżetu państwa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tabela!$AG$3:$AH$3</c15:sqref>
                  </c15:fullRef>
                </c:ext>
              </c:extLst>
              <c:f>tabela!$AH$3</c:f>
              <c:numCache>
                <c:formatCode>#,##0</c:formatCode>
                <c:ptCount val="1"/>
                <c:pt idx="0">
                  <c:v>100839539.39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8-40D7-BBF0-60B35A08F086}"/>
            </c:ext>
          </c:extLst>
        </c:ser>
        <c:ser>
          <c:idx val="1"/>
          <c:order val="1"/>
          <c:tx>
            <c:strRef>
              <c:f>tabela!$B$4</c:f>
              <c:strCache>
                <c:ptCount val="1"/>
                <c:pt idx="0">
                  <c:v>Wydatki budżetowe w części budżetu państwa, której dysponentem jest minister właściwy do spraw zdrowia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tabela!$AG$4:$AH$4</c15:sqref>
                  </c15:fullRef>
                </c:ext>
              </c:extLst>
              <c:f>tabela!$AH$4</c:f>
              <c:numCache>
                <c:formatCode>#,##0</c:formatCode>
                <c:ptCount val="1"/>
                <c:pt idx="0">
                  <c:v>6144506.8000000007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8-40D7-BBF0-60B35A08F086}"/>
            </c:ext>
          </c:extLst>
        </c:ser>
        <c:ser>
          <c:idx val="2"/>
          <c:order val="2"/>
          <c:tx>
            <c:strRef>
              <c:f>tabela!$B$5</c:f>
              <c:strCache>
                <c:ptCount val="1"/>
                <c:pt idx="0">
                  <c:v>Wydatki budżetowe w dziale „ochrona zdrowia” w innych częściach budżetu państwa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tabela!$AG$5:$AH$5</c15:sqref>
                  </c15:fullRef>
                </c:ext>
              </c:extLst>
              <c:f>tabela!$AH$5</c:f>
              <c:numCache>
                <c:formatCode>#,##0</c:formatCode>
                <c:ptCount val="1"/>
                <c:pt idx="0">
                  <c:v>5521195.7000000002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378-40D7-BBF0-60B35A08F086}"/>
            </c:ext>
          </c:extLst>
        </c:ser>
        <c:ser>
          <c:idx val="3"/>
          <c:order val="3"/>
          <c:tx>
            <c:strRef>
              <c:f>tabela!$B$6</c:f>
              <c:strCache>
                <c:ptCount val="1"/>
                <c:pt idx="0">
                  <c:v>Koszty związane z realizacją staży podyplomowych lekarzy i lekarzy dentystów oraz specjalizacji lekarzy, lekarzy dentystów, pielęgniarek i położnych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tabela!$AG$6:$AH$6</c15:sqref>
                  </c15:fullRef>
                </c:ext>
              </c:extLst>
              <c:f>tabela!$AH$6</c:f>
              <c:numCache>
                <c:formatCode>#,##0</c:formatCode>
                <c:ptCount val="1"/>
                <c:pt idx="0">
                  <c:v>2044646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78-40D7-BBF0-60B35A08F086}"/>
            </c:ext>
          </c:extLst>
        </c:ser>
        <c:ser>
          <c:idx val="4"/>
          <c:order val="4"/>
          <c:tx>
            <c:strRef>
              <c:f>tabela!$B$7</c:f>
              <c:strCache>
                <c:ptCount val="1"/>
                <c:pt idx="0">
                  <c:v>Wydatki budżetu środków europejskich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tabela!$AG$7:$AH$7</c15:sqref>
                  </c15:fullRef>
                </c:ext>
              </c:extLst>
              <c:f>tabela!$AH$7</c:f>
              <c:numCache>
                <c:formatCode>#,##0</c:formatCode>
                <c:ptCount val="1"/>
                <c:pt idx="0">
                  <c:v>1386207.50673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378-40D7-BBF0-60B35A08F086}"/>
            </c:ext>
          </c:extLst>
        </c:ser>
        <c:ser>
          <c:idx val="5"/>
          <c:order val="5"/>
          <c:tx>
            <c:strRef>
              <c:f>tabela!$B$8</c:f>
              <c:strCache>
                <c:ptCount val="1"/>
                <c:pt idx="0">
                  <c:v>Odpis dla Agencji Badań Medycznych, o którym mowa w art. 97 ust. 3e, ujęty w planie finansowym Funduszu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tabela!$AG$8:$AH$8</c15:sqref>
                  </c15:fullRef>
                </c:ext>
              </c:extLst>
              <c:f>tabela!$AH$8</c:f>
              <c:numCache>
                <c:formatCode>#,##0</c:formatCode>
                <c:ptCount val="1"/>
                <c:pt idx="0">
                  <c:v>279473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378-40D7-BBF0-60B35A08F086}"/>
            </c:ext>
          </c:extLst>
        </c:ser>
        <c:ser>
          <c:idx val="6"/>
          <c:order val="6"/>
          <c:tx>
            <c:strRef>
              <c:f>tabela!$B$9</c:f>
              <c:strCache>
                <c:ptCount val="1"/>
                <c:pt idx="0">
                  <c:v>Odpis dla Agencji Oceny Technologii Medycznych i Taryfikacji, o którym mowa w art. 31t ust. 5-9 ustawy ujęty w planie finansowym Funduszu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tabela!$AG$9:$AH$9</c15:sqref>
                  </c15:fullRef>
                </c:ext>
              </c:extLst>
              <c:f>tabela!$AH$9</c:f>
              <c:numCache>
                <c:formatCode>#,##0</c:formatCode>
                <c:ptCount val="1"/>
                <c:pt idx="0">
                  <c:v>41848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378-40D7-BBF0-60B35A08F086}"/>
            </c:ext>
          </c:extLst>
        </c:ser>
        <c:ser>
          <c:idx val="7"/>
          <c:order val="7"/>
          <c:tx>
            <c:strRef>
              <c:f>tabela!$B$10</c:f>
              <c:strCache>
                <c:ptCount val="1"/>
                <c:pt idx="0">
                  <c:v>Koszty ujęte w planie finansowym Funduszu Rozwiązywania Problemów Hazardowych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tabela!$AG$10:$AH$10</c15:sqref>
                  </c15:fullRef>
                </c:ext>
              </c:extLst>
              <c:f>tabela!$AH$10</c:f>
              <c:numCache>
                <c:formatCode>#,##0</c:formatCode>
                <c:ptCount val="1"/>
                <c:pt idx="0">
                  <c:v>24912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378-40D7-BBF0-60B35A08F086}"/>
            </c:ext>
          </c:extLst>
        </c:ser>
        <c:ser>
          <c:idx val="8"/>
          <c:order val="8"/>
          <c:tx>
            <c:strRef>
              <c:f>tabela!$B$11</c:f>
              <c:strCache>
                <c:ptCount val="1"/>
                <c:pt idx="0">
                  <c:v>Koszty realizacji programów rządowych, o których mowa w art. 7 ust. 1 ustawy z dnia 23 października 2018 r. o Solidarnościowym Funduszu Wsparcia Osób Niepełnosprawnych w zakresie wsparcia zdrowotnego osób niepełnosprawnych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tabela!$AG$11:$AH$11</c15:sqref>
                  </c15:fullRef>
                </c:ext>
              </c:extLst>
              <c:f>tabela!$AH$11</c:f>
              <c:numCache>
                <c:formatCode>#,##0</c:formatCode>
                <c:ptCount val="1"/>
                <c:pt idx="0">
                  <c:v>24240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378-40D7-BBF0-60B35A08F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47698384"/>
        <c:axId val="1447702736"/>
        <c:axId val="0"/>
      </c:bar3DChart>
      <c:catAx>
        <c:axId val="1447698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47702736"/>
        <c:crosses val="autoZero"/>
        <c:auto val="1"/>
        <c:lblAlgn val="ctr"/>
        <c:lblOffset val="100"/>
        <c:noMultiLvlLbl val="0"/>
      </c:catAx>
      <c:valAx>
        <c:axId val="1447702736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4769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30893472180401E-2"/>
          <c:y val="0.44912684766591876"/>
          <c:w val="0.88193295250765169"/>
          <c:h val="0.54859843094187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184149</xdr:colOff>
      <xdr:row>19</xdr:row>
      <xdr:rowOff>120650</xdr:rowOff>
    </xdr:from>
    <xdr:to>
      <xdr:col>11</xdr:col>
      <xdr:colOff>565150</xdr:colOff>
      <xdr:row>40</xdr:row>
      <xdr:rowOff>171450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8A69BC7-8FA0-4F22-9F96-52328F740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399676</xdr:colOff>
      <xdr:row>1</xdr:row>
      <xdr:rowOff>62753</xdr:rowOff>
    </xdr:from>
    <xdr:to>
      <xdr:col>46</xdr:col>
      <xdr:colOff>7470</xdr:colOff>
      <xdr:row>11</xdr:row>
      <xdr:rowOff>216648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FB69B33C-A776-4193-8E1D-B6AF9B6B5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ermanowska Monika" id="{FFC5790F-88D0-4C33-989F-7669124667B5}" userId="S::m.germanowska@mz.gov.pl::8f6e2161-6c88-4437-aad2-5b7d229454dd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H7" dT="2021-06-10T09:07:15.99" personId="{FFC5790F-88D0-4C33-989F-7669124667B5}" id="{8A0B75A2-4719-401B-90BC-4C74763D2DC8}">
    <text>120 tys. zdjeto są to koszy które wykazuje nfz jako obsługa FS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zoomScale="90" zoomScaleNormal="90" workbookViewId="0">
      <selection activeCell="H11" sqref="H11"/>
    </sheetView>
  </sheetViews>
  <sheetFormatPr defaultColWidth="9.08984375" defaultRowHeight="14.5"/>
  <cols>
    <col min="1" max="1" width="71.6328125" style="1" customWidth="1"/>
    <col min="2" max="8" width="19.54296875" style="1" customWidth="1"/>
    <col min="9" max="10" width="17.90625" style="1" customWidth="1"/>
    <col min="11" max="16384" width="9.08984375" style="1"/>
  </cols>
  <sheetData>
    <row r="1" spans="1:10" s="26" customFormat="1">
      <c r="A1" s="174" t="s">
        <v>0</v>
      </c>
      <c r="B1" s="174" t="s">
        <v>1</v>
      </c>
      <c r="C1" s="178"/>
      <c r="D1" s="178"/>
      <c r="E1" s="178"/>
      <c r="F1" s="179"/>
      <c r="G1" s="176" t="s">
        <v>10</v>
      </c>
      <c r="H1" s="177"/>
    </row>
    <row r="2" spans="1:10" s="26" customFormat="1">
      <c r="A2" s="175"/>
      <c r="B2" s="28">
        <v>2013</v>
      </c>
      <c r="C2" s="24">
        <v>2014</v>
      </c>
      <c r="D2" s="24">
        <v>2015</v>
      </c>
      <c r="E2" s="24">
        <v>2016</v>
      </c>
      <c r="F2" s="29">
        <v>2017</v>
      </c>
      <c r="G2" s="4">
        <v>2018</v>
      </c>
      <c r="H2" s="3">
        <v>2019</v>
      </c>
    </row>
    <row r="3" spans="1:10" ht="29">
      <c r="A3" s="5" t="s">
        <v>2</v>
      </c>
      <c r="B3" s="6">
        <v>4317544</v>
      </c>
      <c r="C3" s="7">
        <v>4266668</v>
      </c>
      <c r="D3" s="7">
        <v>4664934</v>
      </c>
      <c r="E3" s="7">
        <v>5604885</v>
      </c>
      <c r="F3" s="8">
        <v>7184521</v>
      </c>
      <c r="G3" s="30">
        <v>5103028</v>
      </c>
      <c r="H3" s="31">
        <v>5363362</v>
      </c>
    </row>
    <row r="4" spans="1:10" s="38" customFormat="1" ht="29">
      <c r="A4" s="32" t="s">
        <v>14</v>
      </c>
      <c r="B4" s="33"/>
      <c r="C4" s="34"/>
      <c r="D4" s="34"/>
      <c r="E4" s="34"/>
      <c r="F4" s="35"/>
      <c r="G4" s="36">
        <v>1185083</v>
      </c>
      <c r="H4" s="37">
        <f>26000+3200+113+35246+42132+30135+6892+18810+6579+871+183+5512+3223+600+16000</f>
        <v>195496</v>
      </c>
    </row>
    <row r="5" spans="1:10">
      <c r="A5" s="5" t="s">
        <v>9</v>
      </c>
      <c r="B5" s="6">
        <v>516877</v>
      </c>
      <c r="C5" s="7">
        <f>372061</f>
        <v>372061</v>
      </c>
      <c r="D5" s="7">
        <f>439637</f>
        <v>439637</v>
      </c>
      <c r="E5" s="7">
        <f>1503+205487</f>
        <v>206990</v>
      </c>
      <c r="F5" s="8">
        <f>2982+413939</f>
        <v>416921</v>
      </c>
      <c r="G5" s="30">
        <f>3440+528050+1995</f>
        <v>533485</v>
      </c>
      <c r="H5" s="31">
        <f>69138+845163+791</f>
        <v>915092</v>
      </c>
    </row>
    <row r="6" spans="1:10" ht="29">
      <c r="A6" s="5" t="s">
        <v>3</v>
      </c>
      <c r="B6" s="6">
        <f>7534138-2736479</f>
        <v>4797659</v>
      </c>
      <c r="C6" s="7">
        <f>7357556-2560679</f>
        <v>4796877</v>
      </c>
      <c r="D6" s="7">
        <f>7324541-2818790</f>
        <v>4505751</v>
      </c>
      <c r="E6" s="7">
        <f>8233827-3723484</f>
        <v>4510343</v>
      </c>
      <c r="F6" s="8">
        <f>9598356-5196056</f>
        <v>4402300</v>
      </c>
      <c r="G6" s="9">
        <f>7295462-3160078</f>
        <v>4135384</v>
      </c>
      <c r="H6" s="31">
        <f>7998931-3387345</f>
        <v>4611586</v>
      </c>
    </row>
    <row r="7" spans="1:10" ht="29">
      <c r="A7" s="5" t="s">
        <v>4</v>
      </c>
      <c r="B7" s="6">
        <f>62940514-1595499-134803</f>
        <v>61210212</v>
      </c>
      <c r="C7" s="7">
        <f>64286162-1557644-156026</f>
        <v>62572492</v>
      </c>
      <c r="D7" s="7">
        <f>68715848-1312180-396075-307349</f>
        <v>66700244</v>
      </c>
      <c r="E7" s="7">
        <f>71991841-1149539-445747-631974</f>
        <v>69764581</v>
      </c>
      <c r="F7" s="8">
        <f>77230836-995548-495155-320232-944778</f>
        <v>74475123</v>
      </c>
      <c r="G7" s="9">
        <f>79876527-988096</f>
        <v>78888431</v>
      </c>
      <c r="H7" s="31">
        <f>-449026-785850+85825474</f>
        <v>84590598</v>
      </c>
    </row>
    <row r="8" spans="1:10" ht="29">
      <c r="A8" s="5" t="s">
        <v>5</v>
      </c>
      <c r="B8" s="6">
        <v>835329</v>
      </c>
      <c r="C8" s="7">
        <v>835329</v>
      </c>
      <c r="D8" s="7">
        <v>835329</v>
      </c>
      <c r="E8" s="7">
        <v>835329</v>
      </c>
      <c r="F8" s="8">
        <v>1032721</v>
      </c>
      <c r="G8" s="9">
        <v>1179019</v>
      </c>
      <c r="H8" s="31">
        <v>2243053</v>
      </c>
    </row>
    <row r="9" spans="1:10" ht="29">
      <c r="A9" s="5" t="s">
        <v>6</v>
      </c>
      <c r="B9" s="6">
        <v>0</v>
      </c>
      <c r="C9" s="7">
        <v>0</v>
      </c>
      <c r="D9" s="7">
        <v>24117</v>
      </c>
      <c r="E9" s="7">
        <v>14274</v>
      </c>
      <c r="F9" s="8">
        <v>43848</v>
      </c>
      <c r="G9" s="9">
        <v>26148</v>
      </c>
      <c r="H9" s="31">
        <v>36785</v>
      </c>
    </row>
    <row r="10" spans="1:10" ht="29.5" thickBot="1">
      <c r="A10" s="10" t="s">
        <v>7</v>
      </c>
      <c r="B10" s="11">
        <v>10042</v>
      </c>
      <c r="C10" s="12">
        <v>9944</v>
      </c>
      <c r="D10" s="12">
        <v>9671</v>
      </c>
      <c r="E10" s="12">
        <v>9198</v>
      </c>
      <c r="F10" s="13">
        <v>29375</v>
      </c>
      <c r="G10" s="14">
        <v>88000</v>
      </c>
      <c r="H10" s="13">
        <v>48000</v>
      </c>
    </row>
    <row r="11" spans="1:10" s="20" customFormat="1" ht="21" customHeight="1" thickBot="1">
      <c r="A11" s="15" t="s">
        <v>12</v>
      </c>
      <c r="B11" s="16">
        <f t="shared" ref="B11:H11" si="0">SUM(B3:B10)</f>
        <v>71687663</v>
      </c>
      <c r="C11" s="17">
        <f t="shared" si="0"/>
        <v>72853371</v>
      </c>
      <c r="D11" s="17">
        <f t="shared" si="0"/>
        <v>77179683</v>
      </c>
      <c r="E11" s="17">
        <f t="shared" si="0"/>
        <v>80945600</v>
      </c>
      <c r="F11" s="18">
        <f t="shared" si="0"/>
        <v>87584809</v>
      </c>
      <c r="G11" s="19">
        <f t="shared" si="0"/>
        <v>91138578</v>
      </c>
      <c r="H11" s="18">
        <f t="shared" si="0"/>
        <v>98003972</v>
      </c>
    </row>
    <row r="12" spans="1:10" s="20" customFormat="1" ht="26.25" customHeight="1" thickBot="1">
      <c r="A12" s="21" t="s">
        <v>13</v>
      </c>
      <c r="B12" s="22">
        <f t="shared" ref="B12:H12" si="1">B11/B18</f>
        <v>4.5753487947593346E-2</v>
      </c>
      <c r="C12" s="23">
        <f t="shared" si="1"/>
        <v>4.4711091949614125E-2</v>
      </c>
      <c r="D12" s="23">
        <f t="shared" si="1"/>
        <v>4.6580913697005545E-2</v>
      </c>
      <c r="E12" s="23">
        <f t="shared" si="1"/>
        <v>4.7067716652643463E-2</v>
      </c>
      <c r="F12" s="41">
        <f t="shared" si="1"/>
        <v>4.8674668443563156E-2</v>
      </c>
      <c r="G12" s="44">
        <f t="shared" si="1"/>
        <v>4.9039627262885348E-2</v>
      </c>
      <c r="H12" s="45">
        <f t="shared" si="1"/>
        <v>4.9445013319341299E-2</v>
      </c>
    </row>
    <row r="13" spans="1:10" s="20" customFormat="1" ht="27.75" customHeight="1" thickBot="1">
      <c r="A13" s="39" t="s">
        <v>16</v>
      </c>
      <c r="B13" s="40"/>
      <c r="C13" s="40"/>
      <c r="D13" s="40"/>
      <c r="E13" s="40"/>
      <c r="F13" s="40"/>
      <c r="G13" s="42">
        <v>4.7800000000000002E-2</v>
      </c>
      <c r="H13" s="43">
        <v>4.8599999999999997E-2</v>
      </c>
    </row>
    <row r="14" spans="1:10" ht="36" customHeight="1">
      <c r="A14" s="180" t="s">
        <v>15</v>
      </c>
      <c r="B14" s="180"/>
      <c r="C14" s="180"/>
      <c r="D14" s="180"/>
      <c r="E14" s="180"/>
      <c r="F14" s="180"/>
      <c r="G14" s="181"/>
      <c r="H14" s="181"/>
    </row>
    <row r="15" spans="1:10">
      <c r="B15" s="25"/>
      <c r="C15" s="25"/>
      <c r="D15" s="25"/>
      <c r="E15" s="25"/>
      <c r="F15" s="25"/>
      <c r="G15" s="25"/>
      <c r="H15" s="25"/>
    </row>
    <row r="16" spans="1:10">
      <c r="B16" s="171" t="s">
        <v>1</v>
      </c>
      <c r="C16" s="171"/>
      <c r="D16" s="171"/>
      <c r="E16" s="171"/>
      <c r="F16" s="171"/>
      <c r="G16" s="171"/>
      <c r="H16" s="171"/>
      <c r="I16" s="171" t="s">
        <v>11</v>
      </c>
      <c r="J16" s="171"/>
    </row>
    <row r="17" spans="1:10">
      <c r="A17" s="172" t="s">
        <v>8</v>
      </c>
      <c r="B17" s="2">
        <v>2011</v>
      </c>
      <c r="C17" s="2">
        <v>2012</v>
      </c>
      <c r="D17" s="2">
        <v>2013</v>
      </c>
      <c r="E17" s="2">
        <v>2014</v>
      </c>
      <c r="F17" s="2">
        <v>2015</v>
      </c>
      <c r="G17" s="2">
        <v>2016</v>
      </c>
      <c r="H17" s="2">
        <v>2017</v>
      </c>
      <c r="I17" s="2">
        <v>2018</v>
      </c>
      <c r="J17" s="2">
        <v>2019</v>
      </c>
    </row>
    <row r="18" spans="1:10">
      <c r="A18" s="173"/>
      <c r="B18" s="27">
        <v>1566824000</v>
      </c>
      <c r="C18" s="27">
        <v>1629425000</v>
      </c>
      <c r="D18" s="27">
        <v>1656895000</v>
      </c>
      <c r="E18" s="27">
        <v>1719769000</v>
      </c>
      <c r="F18" s="27">
        <v>1799392000</v>
      </c>
      <c r="G18" s="27">
        <v>1858468000</v>
      </c>
      <c r="H18" s="27">
        <v>1982080000</v>
      </c>
      <c r="I18" s="27">
        <v>2104600000</v>
      </c>
      <c r="J18" s="27">
        <v>2233700000</v>
      </c>
    </row>
  </sheetData>
  <mergeCells count="7">
    <mergeCell ref="I16:J16"/>
    <mergeCell ref="A17:A18"/>
    <mergeCell ref="A1:A2"/>
    <mergeCell ref="G1:H1"/>
    <mergeCell ref="B1:F1"/>
    <mergeCell ref="B16:H16"/>
    <mergeCell ref="A14:H1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&amp;CNakłday w latach 2017/2018 liczone wg nowelizacji ustawy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3"/>
  <sheetViews>
    <sheetView zoomScale="110" zoomScaleNormal="110" workbookViewId="0">
      <pane xSplit="6" ySplit="4" topLeftCell="G17" activePane="bottomRight" state="frozen"/>
      <selection pane="topRight" activeCell="G1" sqref="G1"/>
      <selection pane="bottomLeft" activeCell="A5" sqref="A5"/>
      <selection pane="bottomRight" activeCell="A32" sqref="A32:XFD32"/>
    </sheetView>
  </sheetViews>
  <sheetFormatPr defaultColWidth="9.08984375" defaultRowHeight="11.5"/>
  <cols>
    <col min="1" max="2" width="9.08984375" style="101"/>
    <col min="3" max="4" width="11.81640625" style="101" customWidth="1"/>
    <col min="5" max="5" width="13.08984375" style="101" customWidth="1"/>
    <col min="6" max="7" width="11.81640625" style="101" customWidth="1"/>
    <col min="8" max="9" width="13.453125" style="101" customWidth="1"/>
    <col min="10" max="11" width="11.81640625" style="101" customWidth="1"/>
    <col min="12" max="14" width="3.90625" style="101" customWidth="1"/>
    <col min="15" max="16384" width="9.08984375" style="101"/>
  </cols>
  <sheetData>
    <row r="1" spans="1:11" ht="12">
      <c r="A1" s="153" t="s">
        <v>175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1" ht="12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1" ht="15" customHeight="1">
      <c r="A3" s="200" t="s">
        <v>39</v>
      </c>
      <c r="B3" s="202" t="s">
        <v>116</v>
      </c>
      <c r="C3" s="116" t="s">
        <v>72</v>
      </c>
      <c r="D3" s="117" t="s">
        <v>73</v>
      </c>
      <c r="E3" s="118" t="s">
        <v>111</v>
      </c>
      <c r="F3" s="119" t="s">
        <v>74</v>
      </c>
      <c r="G3" s="116" t="s">
        <v>75</v>
      </c>
      <c r="H3" s="116" t="s">
        <v>76</v>
      </c>
      <c r="I3" s="116" t="s">
        <v>77</v>
      </c>
      <c r="J3" s="119" t="s">
        <v>78</v>
      </c>
      <c r="K3" s="120" t="s">
        <v>79</v>
      </c>
    </row>
    <row r="4" spans="1:11" ht="95.25" customHeight="1">
      <c r="A4" s="201"/>
      <c r="B4" s="203"/>
      <c r="C4" s="140" t="s">
        <v>71</v>
      </c>
      <c r="D4" s="140" t="s">
        <v>151</v>
      </c>
      <c r="E4" s="140" t="s">
        <v>152</v>
      </c>
      <c r="F4" s="140" t="s">
        <v>145</v>
      </c>
      <c r="G4" s="140" t="s">
        <v>153</v>
      </c>
      <c r="H4" s="140" t="s">
        <v>154</v>
      </c>
      <c r="I4" s="140" t="s">
        <v>136</v>
      </c>
      <c r="J4" s="140" t="s">
        <v>155</v>
      </c>
      <c r="K4" s="141" t="s">
        <v>156</v>
      </c>
    </row>
    <row r="5" spans="1:11" ht="12">
      <c r="A5" s="142"/>
      <c r="B5" s="199" t="s">
        <v>69</v>
      </c>
      <c r="C5" s="199"/>
      <c r="D5" s="199"/>
      <c r="E5" s="199"/>
      <c r="F5" s="199"/>
      <c r="G5" s="199"/>
      <c r="H5" s="199"/>
      <c r="I5" s="199"/>
      <c r="J5" s="199"/>
      <c r="K5" s="199"/>
    </row>
    <row r="6" spans="1:11" ht="12">
      <c r="A6" s="143">
        <v>2013</v>
      </c>
      <c r="B6" s="144">
        <v>105635.11200000001</v>
      </c>
      <c r="C6" s="145">
        <v>74639.14</v>
      </c>
      <c r="D6" s="145">
        <v>10533.584999999999</v>
      </c>
      <c r="E6" s="145">
        <v>64105.554999999993</v>
      </c>
      <c r="F6" s="145">
        <v>6018.1120000000001</v>
      </c>
      <c r="G6" s="145">
        <v>4237.915</v>
      </c>
      <c r="H6" s="145">
        <v>1166.6969999999999</v>
      </c>
      <c r="I6" s="145">
        <v>613.5</v>
      </c>
      <c r="J6" s="146">
        <v>24977.86</v>
      </c>
      <c r="K6" s="146" t="s">
        <v>80</v>
      </c>
    </row>
    <row r="7" spans="1:11" ht="12">
      <c r="A7" s="143">
        <v>2014</v>
      </c>
      <c r="B7" s="144">
        <v>107457.868</v>
      </c>
      <c r="C7" s="145">
        <v>75928.64899999999</v>
      </c>
      <c r="D7" s="145">
        <v>10016.601999999999</v>
      </c>
      <c r="E7" s="145">
        <v>65912.047000000006</v>
      </c>
      <c r="F7" s="145">
        <v>6679.0070000000005</v>
      </c>
      <c r="G7" s="145">
        <v>4868.8949999999995</v>
      </c>
      <c r="H7" s="145">
        <v>1130.1120000000001</v>
      </c>
      <c r="I7" s="145">
        <v>680</v>
      </c>
      <c r="J7" s="146">
        <v>24850.212</v>
      </c>
      <c r="K7" s="146" t="s">
        <v>80</v>
      </c>
    </row>
    <row r="8" spans="1:11" ht="14">
      <c r="A8" s="110" t="s">
        <v>176</v>
      </c>
      <c r="B8" s="147">
        <v>115177.4</v>
      </c>
      <c r="C8" s="147">
        <v>80329.407999999996</v>
      </c>
      <c r="D8" s="145">
        <v>10897.045</v>
      </c>
      <c r="E8" s="145">
        <v>69432.354000000007</v>
      </c>
      <c r="F8" s="147">
        <v>8314.098</v>
      </c>
      <c r="G8" s="145">
        <v>5752.0650000000005</v>
      </c>
      <c r="H8" s="145">
        <v>1199.884</v>
      </c>
      <c r="I8" s="145">
        <v>1362.1489999999999</v>
      </c>
      <c r="J8" s="147">
        <v>26533.891</v>
      </c>
      <c r="K8" s="146" t="s">
        <v>80</v>
      </c>
    </row>
    <row r="9" spans="1:11" ht="14">
      <c r="A9" s="110" t="s">
        <v>141</v>
      </c>
      <c r="B9" s="147">
        <v>121774.1</v>
      </c>
      <c r="C9" s="147">
        <v>84415</v>
      </c>
      <c r="D9" s="145">
        <v>11828.3</v>
      </c>
      <c r="E9" s="145">
        <v>72586.72500000002</v>
      </c>
      <c r="F9" s="147">
        <v>9571.9</v>
      </c>
      <c r="G9" s="145">
        <v>6540.192</v>
      </c>
      <c r="H9" s="145">
        <v>1087.8</v>
      </c>
      <c r="I9" s="145">
        <v>1943.934</v>
      </c>
      <c r="J9" s="147">
        <v>27787.188000000002</v>
      </c>
      <c r="K9" s="146" t="s">
        <v>80</v>
      </c>
    </row>
    <row r="10" spans="1:11" ht="12">
      <c r="A10" s="143">
        <v>2017</v>
      </c>
      <c r="B10" s="144">
        <v>130535.814</v>
      </c>
      <c r="C10" s="145">
        <v>90445.504000000001</v>
      </c>
      <c r="D10" s="145">
        <v>13515.144</v>
      </c>
      <c r="E10" s="145">
        <v>76930.36</v>
      </c>
      <c r="F10" s="145">
        <v>10411.120000000001</v>
      </c>
      <c r="G10" s="145">
        <v>7361.2820000000002</v>
      </c>
      <c r="H10" s="145">
        <v>1437.59</v>
      </c>
      <c r="I10" s="145">
        <v>1612.248</v>
      </c>
      <c r="J10" s="146">
        <v>29679.19</v>
      </c>
      <c r="K10" s="146" t="s">
        <v>80</v>
      </c>
    </row>
    <row r="11" spans="1:11" ht="12">
      <c r="A11" s="143">
        <v>2018</v>
      </c>
      <c r="B11" s="144">
        <v>134244.4</v>
      </c>
      <c r="C11" s="145">
        <v>95977.057000000001</v>
      </c>
      <c r="D11" s="145">
        <v>13381.757</v>
      </c>
      <c r="E11" s="145">
        <v>82595.3</v>
      </c>
      <c r="F11" s="145">
        <v>10854.191000000001</v>
      </c>
      <c r="G11" s="145">
        <v>8196.5540000000001</v>
      </c>
      <c r="H11" s="145">
        <v>1560.3119999999999</v>
      </c>
      <c r="I11" s="145">
        <v>1097.325</v>
      </c>
      <c r="J11" s="146">
        <v>27413.151999999998</v>
      </c>
      <c r="K11" s="146" t="s">
        <v>80</v>
      </c>
    </row>
    <row r="12" spans="1:11" ht="12">
      <c r="A12" s="110">
        <v>2019</v>
      </c>
      <c r="B12" s="144">
        <v>147838.53</v>
      </c>
      <c r="C12" s="145">
        <v>106113.92599999999</v>
      </c>
      <c r="D12" s="145">
        <v>14693.641</v>
      </c>
      <c r="E12" s="145">
        <v>91420.284999999989</v>
      </c>
      <c r="F12" s="145">
        <v>12022.687</v>
      </c>
      <c r="G12" s="145">
        <v>9166.5069999999996</v>
      </c>
      <c r="H12" s="145">
        <v>1642.4070000000002</v>
      </c>
      <c r="I12" s="145">
        <v>1213.7729999999999</v>
      </c>
      <c r="J12" s="146">
        <v>29701.916999999998</v>
      </c>
      <c r="K12" s="146" t="s">
        <v>80</v>
      </c>
    </row>
    <row r="13" spans="1:11" ht="12">
      <c r="A13" s="110">
        <v>2020</v>
      </c>
      <c r="B13" s="144">
        <v>151873.50599999999</v>
      </c>
      <c r="C13" s="145">
        <v>109752.72900000001</v>
      </c>
      <c r="D13" s="145">
        <v>14939.408999999998</v>
      </c>
      <c r="E13" s="145">
        <v>94813.32</v>
      </c>
      <c r="F13" s="145">
        <v>12452.338</v>
      </c>
      <c r="G13" s="145">
        <v>9023.9470000000001</v>
      </c>
      <c r="H13" s="145">
        <v>2222.5990000000002</v>
      </c>
      <c r="I13" s="145">
        <v>1205.7919999999999</v>
      </c>
      <c r="J13" s="146">
        <v>29668.438999999998</v>
      </c>
      <c r="K13" s="146" t="s">
        <v>80</v>
      </c>
    </row>
    <row r="14" spans="1:11" ht="12">
      <c r="A14" s="110">
        <v>2021</v>
      </c>
      <c r="B14" s="144">
        <v>169418.41399999999</v>
      </c>
      <c r="C14" s="147">
        <v>122767.155</v>
      </c>
      <c r="D14" s="145">
        <v>25639.312000000002</v>
      </c>
      <c r="E14" s="145">
        <v>97127.842999999993</v>
      </c>
      <c r="F14" s="147">
        <v>13025.976000000001</v>
      </c>
      <c r="G14" s="145">
        <v>9745.0329999999994</v>
      </c>
      <c r="H14" s="145">
        <v>2262.7170000000001</v>
      </c>
      <c r="I14" s="145">
        <v>1018.226</v>
      </c>
      <c r="J14" s="147">
        <v>33625.283000000003</v>
      </c>
      <c r="K14" s="146" t="s">
        <v>80</v>
      </c>
    </row>
    <row r="15" spans="1:11" ht="14">
      <c r="A15" s="110" t="s">
        <v>177</v>
      </c>
      <c r="B15" s="144">
        <v>196205.1</v>
      </c>
      <c r="C15" s="147">
        <v>144639.4</v>
      </c>
      <c r="D15" s="145">
        <v>20678.099999999999</v>
      </c>
      <c r="E15" s="145">
        <v>123961.3</v>
      </c>
      <c r="F15" s="147">
        <v>14602.3</v>
      </c>
      <c r="G15" s="145">
        <v>10636.2</v>
      </c>
      <c r="H15" s="145">
        <v>2803.5</v>
      </c>
      <c r="I15" s="145">
        <v>1162.5999999999999</v>
      </c>
      <c r="J15" s="147">
        <v>36963.4</v>
      </c>
      <c r="K15" s="146" t="s">
        <v>80</v>
      </c>
    </row>
    <row r="16" spans="1:11" ht="12">
      <c r="A16" s="154"/>
      <c r="B16" s="204" t="s">
        <v>67</v>
      </c>
      <c r="C16" s="204"/>
      <c r="D16" s="204"/>
      <c r="E16" s="204"/>
      <c r="F16" s="204"/>
      <c r="G16" s="204"/>
      <c r="H16" s="204"/>
      <c r="I16" s="204"/>
      <c r="J16" s="204"/>
      <c r="K16" s="204"/>
    </row>
    <row r="17" spans="1:12" ht="12">
      <c r="A17" s="143">
        <v>2013</v>
      </c>
      <c r="B17" s="144">
        <f t="shared" ref="B17:J17" si="0">B6/$B6*100</f>
        <v>100</v>
      </c>
      <c r="C17" s="144">
        <f t="shared" si="0"/>
        <v>70.657510165748675</v>
      </c>
      <c r="D17" s="144">
        <f t="shared" si="0"/>
        <v>9.9716702151080217</v>
      </c>
      <c r="E17" s="144">
        <f t="shared" si="0"/>
        <v>60.685839950640641</v>
      </c>
      <c r="F17" s="144">
        <f t="shared" si="0"/>
        <v>5.697075419392748</v>
      </c>
      <c r="G17" s="144">
        <f t="shared" si="0"/>
        <v>4.0118431454874584</v>
      </c>
      <c r="H17" s="144">
        <f t="shared" si="0"/>
        <v>1.1044594717710905</v>
      </c>
      <c r="I17" s="144">
        <f t="shared" si="0"/>
        <v>0.58077280213419935</v>
      </c>
      <c r="J17" s="144">
        <f t="shared" si="0"/>
        <v>23.645414414858575</v>
      </c>
      <c r="K17" s="146" t="s">
        <v>80</v>
      </c>
    </row>
    <row r="18" spans="1:12" ht="12">
      <c r="A18" s="143">
        <v>2014</v>
      </c>
      <c r="B18" s="144">
        <f t="shared" ref="B18:J18" si="1">B7/$B7*100</f>
        <v>100</v>
      </c>
      <c r="C18" s="145">
        <f t="shared" si="1"/>
        <v>70.658994462834485</v>
      </c>
      <c r="D18" s="145">
        <f t="shared" si="1"/>
        <v>9.3214226062999863</v>
      </c>
      <c r="E18" s="145">
        <f t="shared" si="1"/>
        <v>61.33757185653451</v>
      </c>
      <c r="F18" s="145">
        <f t="shared" si="1"/>
        <v>6.215465767476422</v>
      </c>
      <c r="G18" s="145">
        <f t="shared" si="1"/>
        <v>4.5309804583132056</v>
      </c>
      <c r="H18" s="145">
        <f t="shared" si="1"/>
        <v>1.0516791567091206</v>
      </c>
      <c r="I18" s="145">
        <f t="shared" si="1"/>
        <v>0.63280615245409488</v>
      </c>
      <c r="J18" s="146">
        <f t="shared" si="1"/>
        <v>23.125539769689084</v>
      </c>
      <c r="K18" s="146" t="s">
        <v>80</v>
      </c>
    </row>
    <row r="19" spans="1:12" ht="12">
      <c r="A19" s="143">
        <v>2015</v>
      </c>
      <c r="B19" s="144">
        <f t="shared" ref="B19:J19" si="2">B8/$B8*100</f>
        <v>100</v>
      </c>
      <c r="C19" s="144">
        <f t="shared" si="2"/>
        <v>69.744071319547061</v>
      </c>
      <c r="D19" s="144">
        <f t="shared" si="2"/>
        <v>9.4610965345632039</v>
      </c>
      <c r="E19" s="144">
        <f t="shared" si="2"/>
        <v>60.282966970950902</v>
      </c>
      <c r="F19" s="144">
        <f t="shared" si="2"/>
        <v>7.2185150906341002</v>
      </c>
      <c r="G19" s="144">
        <f t="shared" si="2"/>
        <v>4.9940917228553525</v>
      </c>
      <c r="H19" s="144">
        <f t="shared" si="2"/>
        <v>1.0417703473077184</v>
      </c>
      <c r="I19" s="144">
        <f t="shared" si="2"/>
        <v>1.1826530204710299</v>
      </c>
      <c r="J19" s="144">
        <f t="shared" si="2"/>
        <v>23.037410985141182</v>
      </c>
      <c r="K19" s="146" t="s">
        <v>80</v>
      </c>
    </row>
    <row r="20" spans="1:12" ht="12">
      <c r="A20" s="143">
        <v>2016</v>
      </c>
      <c r="B20" s="144">
        <f t="shared" ref="B20:J20" si="3">B9/$B9*100</f>
        <v>100</v>
      </c>
      <c r="C20" s="144">
        <f t="shared" si="3"/>
        <v>69.320980405521368</v>
      </c>
      <c r="D20" s="144">
        <f t="shared" si="3"/>
        <v>9.7133134221480582</v>
      </c>
      <c r="E20" s="144">
        <f t="shared" si="3"/>
        <v>59.60768751319042</v>
      </c>
      <c r="F20" s="144">
        <f t="shared" si="3"/>
        <v>7.8603742503537282</v>
      </c>
      <c r="G20" s="144">
        <f t="shared" si="3"/>
        <v>5.3707578212444185</v>
      </c>
      <c r="H20" s="144">
        <f t="shared" si="3"/>
        <v>0.89329340147042757</v>
      </c>
      <c r="I20" s="144">
        <f t="shared" si="3"/>
        <v>1.5963443786486615</v>
      </c>
      <c r="J20" s="144">
        <f t="shared" si="3"/>
        <v>22.818635489812696</v>
      </c>
      <c r="K20" s="146" t="s">
        <v>80</v>
      </c>
    </row>
    <row r="21" spans="1:12" ht="12">
      <c r="A21" s="143">
        <v>2017</v>
      </c>
      <c r="B21" s="144">
        <f t="shared" ref="B21:J21" si="4">B10/$B10*100</f>
        <v>100</v>
      </c>
      <c r="C21" s="144">
        <f t="shared" si="4"/>
        <v>69.287884472838996</v>
      </c>
      <c r="D21" s="144">
        <f t="shared" si="4"/>
        <v>10.353590777776894</v>
      </c>
      <c r="E21" s="144">
        <f t="shared" si="4"/>
        <v>58.934293695062109</v>
      </c>
      <c r="F21" s="144">
        <f t="shared" si="4"/>
        <v>7.9756809116002456</v>
      </c>
      <c r="G21" s="144">
        <f t="shared" si="4"/>
        <v>5.6392814925105537</v>
      </c>
      <c r="H21" s="144">
        <f t="shared" si="4"/>
        <v>1.1012992955327954</v>
      </c>
      <c r="I21" s="144">
        <f t="shared" si="4"/>
        <v>1.2351001235568961</v>
      </c>
      <c r="J21" s="144">
        <f t="shared" si="4"/>
        <v>22.736434615560754</v>
      </c>
      <c r="K21" s="146" t="s">
        <v>80</v>
      </c>
    </row>
    <row r="22" spans="1:12" ht="12">
      <c r="A22" s="143">
        <v>2018</v>
      </c>
      <c r="B22" s="144">
        <f t="shared" ref="B22:J22" si="5">B11/$B11*100</f>
        <v>100</v>
      </c>
      <c r="C22" s="144">
        <f t="shared" si="5"/>
        <v>71.494272386781134</v>
      </c>
      <c r="D22" s="144">
        <f t="shared" si="5"/>
        <v>9.9682050051994722</v>
      </c>
      <c r="E22" s="144">
        <f t="shared" si="5"/>
        <v>61.526067381581662</v>
      </c>
      <c r="F22" s="144">
        <f t="shared" si="5"/>
        <v>8.0853957409024151</v>
      </c>
      <c r="G22" s="144">
        <f t="shared" si="5"/>
        <v>6.1056952841235832</v>
      </c>
      <c r="H22" s="144">
        <f t="shared" si="5"/>
        <v>1.1622920583651906</v>
      </c>
      <c r="I22" s="144">
        <f t="shared" si="5"/>
        <v>0.81740839841363955</v>
      </c>
      <c r="J22" s="144">
        <f t="shared" si="5"/>
        <v>20.42033187231646</v>
      </c>
      <c r="K22" s="146" t="s">
        <v>80</v>
      </c>
    </row>
    <row r="23" spans="1:12" ht="12">
      <c r="A23" s="110">
        <v>2019</v>
      </c>
      <c r="B23" s="144">
        <f t="shared" ref="B23:J23" si="6">B12/$B12*100</f>
        <v>100</v>
      </c>
      <c r="C23" s="144">
        <f t="shared" si="6"/>
        <v>71.776908225480867</v>
      </c>
      <c r="D23" s="144">
        <f t="shared" si="6"/>
        <v>9.9389793716157744</v>
      </c>
      <c r="E23" s="144">
        <f t="shared" si="6"/>
        <v>61.837928853865087</v>
      </c>
      <c r="F23" s="144">
        <f t="shared" si="6"/>
        <v>8.1323096218556827</v>
      </c>
      <c r="G23" s="144">
        <f t="shared" si="6"/>
        <v>6.200350476969704</v>
      </c>
      <c r="H23" s="144">
        <f t="shared" si="6"/>
        <v>1.1109465171224309</v>
      </c>
      <c r="I23" s="144">
        <f t="shared" si="6"/>
        <v>0.82101262776354722</v>
      </c>
      <c r="J23" s="144">
        <f t="shared" si="6"/>
        <v>20.090782152663447</v>
      </c>
      <c r="K23" s="146" t="s">
        <v>80</v>
      </c>
    </row>
    <row r="24" spans="1:12" ht="12">
      <c r="A24" s="110">
        <v>2020</v>
      </c>
      <c r="B24" s="144">
        <f t="shared" ref="B24:J24" si="7">B13/$B13*100</f>
        <v>100</v>
      </c>
      <c r="C24" s="144">
        <f t="shared" si="7"/>
        <v>72.265882240184808</v>
      </c>
      <c r="D24" s="144">
        <f t="shared" si="7"/>
        <v>9.8367446656561661</v>
      </c>
      <c r="E24" s="144">
        <f t="shared" si="7"/>
        <v>62.429137574528639</v>
      </c>
      <c r="F24" s="144">
        <f t="shared" si="7"/>
        <v>8.1991509434173473</v>
      </c>
      <c r="G24" s="144">
        <f t="shared" si="7"/>
        <v>5.941751947176356</v>
      </c>
      <c r="H24" s="144">
        <f t="shared" si="7"/>
        <v>1.4634540668337506</v>
      </c>
      <c r="I24" s="144">
        <f t="shared" si="7"/>
        <v>0.79394492940723982</v>
      </c>
      <c r="J24" s="144">
        <f t="shared" si="7"/>
        <v>19.534966816397851</v>
      </c>
      <c r="K24" s="146" t="s">
        <v>80</v>
      </c>
    </row>
    <row r="25" spans="1:12" ht="12">
      <c r="A25" s="110">
        <v>2021</v>
      </c>
      <c r="B25" s="144">
        <f t="shared" ref="B25:J26" si="8">B14/$B14*100</f>
        <v>100</v>
      </c>
      <c r="C25" s="144">
        <f t="shared" si="8"/>
        <v>72.463879280560377</v>
      </c>
      <c r="D25" s="144">
        <f t="shared" si="8"/>
        <v>15.133722123027313</v>
      </c>
      <c r="E25" s="144">
        <f t="shared" si="8"/>
        <v>57.330157157533066</v>
      </c>
      <c r="F25" s="144">
        <f t="shared" si="8"/>
        <v>7.6886423927920857</v>
      </c>
      <c r="G25" s="144">
        <f t="shared" si="8"/>
        <v>5.7520506596172005</v>
      </c>
      <c r="H25" s="144">
        <f t="shared" si="8"/>
        <v>1.3355791419461642</v>
      </c>
      <c r="I25" s="144">
        <f t="shared" si="8"/>
        <v>0.60101259122871975</v>
      </c>
      <c r="J25" s="144">
        <f t="shared" si="8"/>
        <v>19.84747832664754</v>
      </c>
      <c r="K25" s="146" t="s">
        <v>80</v>
      </c>
    </row>
    <row r="26" spans="1:12" ht="14">
      <c r="A26" s="110" t="s">
        <v>177</v>
      </c>
      <c r="B26" s="144">
        <f t="shared" si="8"/>
        <v>100</v>
      </c>
      <c r="C26" s="144">
        <f t="shared" si="8"/>
        <v>73.718471130465005</v>
      </c>
      <c r="D26" s="144">
        <f t="shared" si="8"/>
        <v>10.539022685954645</v>
      </c>
      <c r="E26" s="144">
        <f t="shared" si="8"/>
        <v>63.179448444510363</v>
      </c>
      <c r="F26" s="144">
        <f t="shared" si="8"/>
        <v>7.4423651576844847</v>
      </c>
      <c r="G26" s="144">
        <f t="shared" si="8"/>
        <v>5.4209600056267657</v>
      </c>
      <c r="H26" s="144">
        <f t="shared" si="8"/>
        <v>1.4288619408975607</v>
      </c>
      <c r="I26" s="144">
        <f t="shared" si="8"/>
        <v>0.59254321116015829</v>
      </c>
      <c r="J26" s="144">
        <f t="shared" si="8"/>
        <v>18.839163711850507</v>
      </c>
      <c r="K26" s="146" t="s">
        <v>80</v>
      </c>
    </row>
    <row r="27" spans="1:12" ht="12">
      <c r="A27" s="149"/>
      <c r="B27" s="149"/>
      <c r="C27" s="149"/>
      <c r="D27" s="149"/>
      <c r="E27" s="149"/>
      <c r="F27" s="149"/>
      <c r="G27" s="149"/>
      <c r="H27" s="149"/>
      <c r="I27" s="149"/>
      <c r="J27" s="149"/>
      <c r="K27" s="149"/>
    </row>
    <row r="28" spans="1:12" ht="14">
      <c r="A28" s="149" t="s">
        <v>178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</row>
    <row r="29" spans="1:12" ht="14">
      <c r="A29" s="149" t="s">
        <v>179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51"/>
    </row>
    <row r="30" spans="1:12" ht="14">
      <c r="A30" s="115" t="s">
        <v>143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</row>
    <row r="31" spans="1:12" ht="12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</row>
    <row r="32" spans="1:12" ht="12">
      <c r="A32" s="149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50"/>
    </row>
    <row r="33" ht="15" customHeight="1"/>
  </sheetData>
  <mergeCells count="4">
    <mergeCell ref="B5:K5"/>
    <mergeCell ref="A3:A4"/>
    <mergeCell ref="B3:B4"/>
    <mergeCell ref="B16:K1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3"/>
  <sheetViews>
    <sheetView topLeftCell="A16" zoomScaleNormal="100" workbookViewId="0">
      <selection activeCell="A28" sqref="A28"/>
    </sheetView>
  </sheetViews>
  <sheetFormatPr defaultColWidth="9.08984375" defaultRowHeight="11.5"/>
  <cols>
    <col min="1" max="1" width="7.90625" style="101" customWidth="1"/>
    <col min="2" max="2" width="9.08984375" style="101"/>
    <col min="3" max="11" width="11.81640625" style="101" customWidth="1"/>
    <col min="12" max="12" width="15.81640625" style="102" customWidth="1"/>
    <col min="13" max="16384" width="9.08984375" style="101"/>
  </cols>
  <sheetData>
    <row r="1" spans="1:12" ht="12">
      <c r="A1" s="107" t="s">
        <v>129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25"/>
    </row>
    <row r="2" spans="1:12" ht="1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25"/>
    </row>
    <row r="3" spans="1:12" ht="12">
      <c r="A3" s="207" t="s">
        <v>39</v>
      </c>
      <c r="B3" s="205" t="s">
        <v>68</v>
      </c>
      <c r="C3" s="116" t="s">
        <v>81</v>
      </c>
      <c r="D3" s="116" t="s">
        <v>82</v>
      </c>
      <c r="E3" s="116" t="s">
        <v>83</v>
      </c>
      <c r="F3" s="116" t="s">
        <v>84</v>
      </c>
      <c r="G3" s="116" t="s">
        <v>85</v>
      </c>
      <c r="H3" s="116" t="s">
        <v>86</v>
      </c>
      <c r="I3" s="116" t="s">
        <v>87</v>
      </c>
      <c r="J3" s="116" t="s">
        <v>88</v>
      </c>
      <c r="K3" s="116" t="s">
        <v>89</v>
      </c>
      <c r="L3" s="116" t="s">
        <v>140</v>
      </c>
    </row>
    <row r="4" spans="1:12" ht="126.65" customHeight="1">
      <c r="A4" s="207"/>
      <c r="B4" s="205"/>
      <c r="C4" s="140" t="s">
        <v>90</v>
      </c>
      <c r="D4" s="140" t="s">
        <v>157</v>
      </c>
      <c r="E4" s="140" t="s">
        <v>158</v>
      </c>
      <c r="F4" s="140" t="s">
        <v>159</v>
      </c>
      <c r="G4" s="140" t="s">
        <v>160</v>
      </c>
      <c r="H4" s="140" t="s">
        <v>137</v>
      </c>
      <c r="I4" s="140" t="s">
        <v>138</v>
      </c>
      <c r="J4" s="140" t="s">
        <v>161</v>
      </c>
      <c r="K4" s="140" t="s">
        <v>162</v>
      </c>
      <c r="L4" s="140" t="s">
        <v>139</v>
      </c>
    </row>
    <row r="5" spans="1:12" ht="12">
      <c r="A5" s="142"/>
      <c r="B5" s="206" t="s">
        <v>91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</row>
    <row r="6" spans="1:12" ht="12">
      <c r="A6" s="143">
        <v>2013</v>
      </c>
      <c r="B6" s="144">
        <v>105635.11200000001</v>
      </c>
      <c r="C6" s="145">
        <v>59304.411999999997</v>
      </c>
      <c r="D6" s="145">
        <v>3819.5680000000002</v>
      </c>
      <c r="E6" s="145">
        <v>6239.9009999999998</v>
      </c>
      <c r="F6" s="145">
        <v>4979.7550000000001</v>
      </c>
      <c r="G6" s="145">
        <v>25307.543000000001</v>
      </c>
      <c r="H6" s="145">
        <v>22926.929</v>
      </c>
      <c r="I6" s="145">
        <v>2380.614</v>
      </c>
      <c r="J6" s="146">
        <v>2725.6659999999997</v>
      </c>
      <c r="K6" s="146">
        <v>2758.239</v>
      </c>
      <c r="L6" s="146">
        <v>500.02799999999996</v>
      </c>
    </row>
    <row r="7" spans="1:12" ht="12">
      <c r="A7" s="143">
        <v>2014</v>
      </c>
      <c r="B7" s="144">
        <v>107457.868</v>
      </c>
      <c r="C7" s="145">
        <v>60845.236999999994</v>
      </c>
      <c r="D7" s="145">
        <v>3920.5529999999999</v>
      </c>
      <c r="E7" s="145">
        <v>6133.8319999999994</v>
      </c>
      <c r="F7" s="145">
        <v>5080.2590000000009</v>
      </c>
      <c r="G7" s="145">
        <v>25647.206000000006</v>
      </c>
      <c r="H7" s="145">
        <v>23069.002</v>
      </c>
      <c r="I7" s="145">
        <v>2578.2040000000002</v>
      </c>
      <c r="J7" s="146">
        <v>2908.22</v>
      </c>
      <c r="K7" s="146">
        <v>2457.7460000000001</v>
      </c>
      <c r="L7" s="146">
        <v>464.815</v>
      </c>
    </row>
    <row r="8" spans="1:12" ht="14">
      <c r="A8" s="110" t="s">
        <v>172</v>
      </c>
      <c r="B8" s="147">
        <v>115177.4</v>
      </c>
      <c r="C8" s="144">
        <v>64245.737000000001</v>
      </c>
      <c r="D8" s="144">
        <v>5591.5439999999999</v>
      </c>
      <c r="E8" s="144">
        <v>6412.8370000000004</v>
      </c>
      <c r="F8" s="144">
        <v>5936.9170000000004</v>
      </c>
      <c r="G8" s="144">
        <v>27215.032999999999</v>
      </c>
      <c r="H8" s="144">
        <v>24432.752</v>
      </c>
      <c r="I8" s="144">
        <v>2782.2809999999999</v>
      </c>
      <c r="J8" s="144">
        <v>2742.056</v>
      </c>
      <c r="K8" s="144">
        <v>2231.0889999999999</v>
      </c>
      <c r="L8" s="146">
        <v>802.18399999999997</v>
      </c>
    </row>
    <row r="9" spans="1:12" ht="14">
      <c r="A9" s="110" t="s">
        <v>147</v>
      </c>
      <c r="B9" s="147">
        <v>121774.09299999999</v>
      </c>
      <c r="C9" s="144">
        <v>69702.558000000005</v>
      </c>
      <c r="D9" s="144">
        <v>5753.4780000000001</v>
      </c>
      <c r="E9" s="144">
        <v>7143.6049999999996</v>
      </c>
      <c r="F9" s="144">
        <v>4561.5479999999998</v>
      </c>
      <c r="G9" s="144">
        <v>28286.787</v>
      </c>
      <c r="H9" s="144">
        <v>25551.646000000001</v>
      </c>
      <c r="I9" s="144">
        <v>2735.1410000000001</v>
      </c>
      <c r="J9" s="144">
        <v>3430.49</v>
      </c>
      <c r="K9" s="144">
        <v>2318.9789999999998</v>
      </c>
      <c r="L9" s="146">
        <v>576.64800000000002</v>
      </c>
    </row>
    <row r="10" spans="1:12" ht="12">
      <c r="A10" s="143">
        <v>2017</v>
      </c>
      <c r="B10" s="144">
        <v>130535.81399999997</v>
      </c>
      <c r="C10" s="144">
        <v>75954.274999999965</v>
      </c>
      <c r="D10" s="144">
        <v>6283.3579999999993</v>
      </c>
      <c r="E10" s="144">
        <v>7879.4139999999989</v>
      </c>
      <c r="F10" s="144">
        <v>4843.3990000000003</v>
      </c>
      <c r="G10" s="144">
        <v>29588.614999999998</v>
      </c>
      <c r="H10" s="144">
        <v>26539.01</v>
      </c>
      <c r="I10" s="144">
        <v>3049.6049999999996</v>
      </c>
      <c r="J10" s="144">
        <v>3106.9009999999998</v>
      </c>
      <c r="K10" s="144">
        <v>2325.6040000000003</v>
      </c>
      <c r="L10" s="146">
        <v>554.24800000000005</v>
      </c>
    </row>
    <row r="11" spans="1:12" ht="12">
      <c r="A11" s="143">
        <v>2018</v>
      </c>
      <c r="B11" s="144">
        <v>134244.4</v>
      </c>
      <c r="C11" s="144">
        <v>77092.317999999999</v>
      </c>
      <c r="D11" s="144">
        <v>6896.8880000000008</v>
      </c>
      <c r="E11" s="144">
        <v>8300.0349999999999</v>
      </c>
      <c r="F11" s="144">
        <v>4979.2260000000006</v>
      </c>
      <c r="G11" s="144">
        <v>30723.350999999999</v>
      </c>
      <c r="H11" s="144">
        <v>27914.843000000001</v>
      </c>
      <c r="I11" s="144">
        <v>2808.5079999999998</v>
      </c>
      <c r="J11" s="144">
        <v>3065.377</v>
      </c>
      <c r="K11" s="144">
        <v>2446.5819999999999</v>
      </c>
      <c r="L11" s="146">
        <v>740.62300000000005</v>
      </c>
    </row>
    <row r="12" spans="1:12" ht="12">
      <c r="A12" s="110">
        <v>2019</v>
      </c>
      <c r="B12" s="144">
        <v>147838.53</v>
      </c>
      <c r="C12" s="144">
        <v>87111.237000000008</v>
      </c>
      <c r="D12" s="144">
        <v>6686.067</v>
      </c>
      <c r="E12" s="144">
        <v>9936.509</v>
      </c>
      <c r="F12" s="144">
        <v>5535.7270000000008</v>
      </c>
      <c r="G12" s="144">
        <v>32187.058000000001</v>
      </c>
      <c r="H12" s="144">
        <v>29123.31</v>
      </c>
      <c r="I12" s="144">
        <v>3063.748</v>
      </c>
      <c r="J12" s="144">
        <v>3085.6289999999999</v>
      </c>
      <c r="K12" s="144">
        <v>2478.875</v>
      </c>
      <c r="L12" s="152">
        <v>817.428</v>
      </c>
    </row>
    <row r="13" spans="1:12" ht="12">
      <c r="A13" s="110">
        <v>2020</v>
      </c>
      <c r="B13" s="144">
        <v>151873.50599999999</v>
      </c>
      <c r="C13" s="144">
        <v>88117.54</v>
      </c>
      <c r="D13" s="144">
        <v>6416.5050000000001</v>
      </c>
      <c r="E13" s="144">
        <v>12547.803</v>
      </c>
      <c r="F13" s="144">
        <v>5938.7780000000002</v>
      </c>
      <c r="G13" s="144">
        <v>33007.485000000001</v>
      </c>
      <c r="H13" s="144">
        <v>29971.885999999999</v>
      </c>
      <c r="I13" s="144">
        <v>3035.5990000000002</v>
      </c>
      <c r="J13" s="144">
        <v>2926.3119999999999</v>
      </c>
      <c r="K13" s="144">
        <v>1703.03</v>
      </c>
      <c r="L13" s="152">
        <v>1216.0530000000001</v>
      </c>
    </row>
    <row r="14" spans="1:12" ht="12">
      <c r="A14" s="110">
        <v>2021</v>
      </c>
      <c r="B14" s="144">
        <v>169418.41399999999</v>
      </c>
      <c r="C14" s="145">
        <v>95127.29</v>
      </c>
      <c r="D14" s="145">
        <v>7471.9669999999996</v>
      </c>
      <c r="E14" s="145">
        <v>13742.752</v>
      </c>
      <c r="F14" s="145">
        <v>6713.32</v>
      </c>
      <c r="G14" s="145">
        <v>35590.269999999997</v>
      </c>
      <c r="H14" s="145">
        <v>32195.896000000001</v>
      </c>
      <c r="I14" s="146">
        <v>3394.3739999999998</v>
      </c>
      <c r="J14" s="148">
        <v>3554.7489999999998</v>
      </c>
      <c r="K14" s="148">
        <v>6029.3519999999999</v>
      </c>
      <c r="L14" s="148">
        <v>1188.7149999999999</v>
      </c>
    </row>
    <row r="15" spans="1:12" ht="14">
      <c r="A15" s="110" t="s">
        <v>173</v>
      </c>
      <c r="B15" s="144">
        <v>196205.1</v>
      </c>
      <c r="C15" s="145">
        <v>117846.1</v>
      </c>
      <c r="D15" s="145">
        <v>9240</v>
      </c>
      <c r="E15" s="145">
        <v>15968.3</v>
      </c>
      <c r="F15" s="145">
        <v>8610.6</v>
      </c>
      <c r="G15" s="145">
        <v>37366.1</v>
      </c>
      <c r="H15" s="145">
        <v>34078.199999999997</v>
      </c>
      <c r="I15" s="146">
        <v>3287.9</v>
      </c>
      <c r="J15" s="148">
        <v>3732.9</v>
      </c>
      <c r="K15" s="148">
        <v>1913</v>
      </c>
      <c r="L15" s="148">
        <v>1528.1</v>
      </c>
    </row>
    <row r="16" spans="1:12" ht="12">
      <c r="A16" s="149"/>
      <c r="B16" s="208" t="s">
        <v>67</v>
      </c>
      <c r="C16" s="208"/>
      <c r="D16" s="208"/>
      <c r="E16" s="208"/>
      <c r="F16" s="208"/>
      <c r="G16" s="208"/>
      <c r="H16" s="208"/>
      <c r="I16" s="208"/>
      <c r="J16" s="208"/>
      <c r="K16" s="208"/>
      <c r="L16" s="208"/>
    </row>
    <row r="17" spans="1:12" ht="12">
      <c r="A17" s="143">
        <v>2013</v>
      </c>
      <c r="B17" s="144">
        <f t="shared" ref="B17:H26" si="0">B6/$B6*100</f>
        <v>100</v>
      </c>
      <c r="C17" s="145">
        <f t="shared" si="0"/>
        <v>56.140814239871297</v>
      </c>
      <c r="D17" s="145">
        <f t="shared" si="0"/>
        <v>3.6158128937279868</v>
      </c>
      <c r="E17" s="145">
        <f t="shared" si="0"/>
        <v>5.9070330705949363</v>
      </c>
      <c r="F17" s="145">
        <f t="shared" si="0"/>
        <v>4.7141096418774087</v>
      </c>
      <c r="G17" s="145">
        <f t="shared" si="0"/>
        <v>23.957510453531778</v>
      </c>
      <c r="H17" s="145">
        <f t="shared" si="0"/>
        <v>21.70389046399648</v>
      </c>
      <c r="I17" s="145">
        <v>2.2999999999999998</v>
      </c>
      <c r="J17" s="146">
        <f>J6/$B6*100</f>
        <v>2.5802651678922812</v>
      </c>
      <c r="K17" s="146">
        <f>K6/$B6*100</f>
        <v>2.611100559064111</v>
      </c>
      <c r="L17" s="146">
        <v>0.5</v>
      </c>
    </row>
    <row r="18" spans="1:12" ht="12">
      <c r="A18" s="143">
        <v>2014</v>
      </c>
      <c r="B18" s="144">
        <f t="shared" si="0"/>
        <v>100</v>
      </c>
      <c r="C18" s="145">
        <f t="shared" si="0"/>
        <v>56.622412236952243</v>
      </c>
      <c r="D18" s="145">
        <f t="shared" si="0"/>
        <v>3.6484559697387628</v>
      </c>
      <c r="E18" s="145">
        <f t="shared" si="0"/>
        <v>5.7081273937055954</v>
      </c>
      <c r="F18" s="145">
        <f t="shared" si="0"/>
        <v>4.7276752224415999</v>
      </c>
      <c r="G18" s="145">
        <f t="shared" si="0"/>
        <v>23.867220220672909</v>
      </c>
      <c r="H18" s="145">
        <f t="shared" si="0"/>
        <v>21.467950583199734</v>
      </c>
      <c r="I18" s="145">
        <f t="shared" ref="I18:I26" si="1">I7/$B7*100</f>
        <v>2.3992696374731723</v>
      </c>
      <c r="J18" s="146">
        <f t="shared" ref="J18:K18" si="2">J7/$B7*100</f>
        <v>2.7063816304265407</v>
      </c>
      <c r="K18" s="146">
        <f t="shared" si="2"/>
        <v>2.2871717499550615</v>
      </c>
      <c r="L18" s="146">
        <f t="shared" ref="L18:L26" si="3">L7/$B7*100</f>
        <v>0.43255557610727952</v>
      </c>
    </row>
    <row r="19" spans="1:12" ht="12">
      <c r="A19" s="143">
        <v>2015</v>
      </c>
      <c r="B19" s="144">
        <f t="shared" si="0"/>
        <v>100</v>
      </c>
      <c r="C19" s="145">
        <f t="shared" si="0"/>
        <v>55.779811838086289</v>
      </c>
      <c r="D19" s="145">
        <f t="shared" si="0"/>
        <v>4.8547232356347694</v>
      </c>
      <c r="E19" s="145">
        <f t="shared" si="0"/>
        <v>5.5677910770689394</v>
      </c>
      <c r="F19" s="145">
        <f t="shared" si="0"/>
        <v>5.1545850140739429</v>
      </c>
      <c r="G19" s="145">
        <f t="shared" si="0"/>
        <v>23.628796100623909</v>
      </c>
      <c r="H19" s="145">
        <f t="shared" si="0"/>
        <v>21.213147718215556</v>
      </c>
      <c r="I19" s="145">
        <f t="shared" si="1"/>
        <v>2.4156483824083543</v>
      </c>
      <c r="J19" s="146">
        <f t="shared" ref="J19:K19" si="4">J8/$B8*100</f>
        <v>2.3807239962006439</v>
      </c>
      <c r="K19" s="146">
        <f t="shared" si="4"/>
        <v>1.9370892206283525</v>
      </c>
      <c r="L19" s="146">
        <f t="shared" si="3"/>
        <v>0.69647691300550285</v>
      </c>
    </row>
    <row r="20" spans="1:12" ht="12">
      <c r="A20" s="143">
        <v>2016</v>
      </c>
      <c r="B20" s="144">
        <f t="shared" si="0"/>
        <v>100</v>
      </c>
      <c r="C20" s="145">
        <f t="shared" si="0"/>
        <v>57.239233964156902</v>
      </c>
      <c r="D20" s="145">
        <f t="shared" si="0"/>
        <v>4.7247143117707315</v>
      </c>
      <c r="E20" s="145">
        <f t="shared" si="0"/>
        <v>5.8662764993864496</v>
      </c>
      <c r="F20" s="145">
        <f t="shared" si="0"/>
        <v>3.7459100598679886</v>
      </c>
      <c r="G20" s="145">
        <f t="shared" si="0"/>
        <v>23.228903868739962</v>
      </c>
      <c r="H20" s="145">
        <f t="shared" si="0"/>
        <v>20.982825961183714</v>
      </c>
      <c r="I20" s="145">
        <f t="shared" si="1"/>
        <v>2.2460779075562485</v>
      </c>
      <c r="J20" s="146">
        <f t="shared" ref="J20:K20" si="5">J9/$B9*100</f>
        <v>2.8170934518888182</v>
      </c>
      <c r="K20" s="146">
        <f t="shared" si="5"/>
        <v>1.9043286982231926</v>
      </c>
      <c r="L20" s="146">
        <f t="shared" si="3"/>
        <v>0.47353914596596508</v>
      </c>
    </row>
    <row r="21" spans="1:12" ht="12">
      <c r="A21" s="143">
        <v>2017</v>
      </c>
      <c r="B21" s="144">
        <f t="shared" si="0"/>
        <v>100</v>
      </c>
      <c r="C21" s="145">
        <f t="shared" si="0"/>
        <v>58.186541051484909</v>
      </c>
      <c r="D21" s="145">
        <f t="shared" si="0"/>
        <v>4.8135127115383067</v>
      </c>
      <c r="E21" s="145">
        <f t="shared" si="0"/>
        <v>6.0362085764447757</v>
      </c>
      <c r="F21" s="145">
        <f t="shared" si="0"/>
        <v>3.7103985883904635</v>
      </c>
      <c r="G21" s="145">
        <f t="shared" si="0"/>
        <v>22.667047527661648</v>
      </c>
      <c r="H21" s="145">
        <f t="shared" si="0"/>
        <v>20.33082660364764</v>
      </c>
      <c r="I21" s="145">
        <f t="shared" si="1"/>
        <v>2.3362209240140031</v>
      </c>
      <c r="J21" s="146">
        <f t="shared" ref="J21:K21" si="6">J10/$B10*100</f>
        <v>2.3801138590210962</v>
      </c>
      <c r="K21" s="146">
        <f t="shared" si="6"/>
        <v>1.7815830987195598</v>
      </c>
      <c r="L21" s="146">
        <f t="shared" si="3"/>
        <v>0.42459458673923783</v>
      </c>
    </row>
    <row r="22" spans="1:12" ht="12">
      <c r="A22" s="143">
        <v>2018</v>
      </c>
      <c r="B22" s="144">
        <f t="shared" si="0"/>
        <v>100</v>
      </c>
      <c r="C22" s="145">
        <f t="shared" si="0"/>
        <v>57.426840896156563</v>
      </c>
      <c r="D22" s="145">
        <f t="shared" si="0"/>
        <v>5.1375610453769402</v>
      </c>
      <c r="E22" s="145">
        <f t="shared" si="0"/>
        <v>6.1827793189138625</v>
      </c>
      <c r="F22" s="145">
        <f t="shared" si="0"/>
        <v>3.7090753878746532</v>
      </c>
      <c r="G22" s="145">
        <f t="shared" si="0"/>
        <v>22.886132307939846</v>
      </c>
      <c r="H22" s="145">
        <f t="shared" si="0"/>
        <v>20.794046530060101</v>
      </c>
      <c r="I22" s="145">
        <f t="shared" si="1"/>
        <v>2.0920857778797477</v>
      </c>
      <c r="J22" s="146">
        <f t="shared" ref="J22:K22" si="7">J11/$B11*100</f>
        <v>2.2834300723158658</v>
      </c>
      <c r="K22" s="146">
        <f t="shared" si="7"/>
        <v>1.8224834704464394</v>
      </c>
      <c r="L22" s="146">
        <f t="shared" si="3"/>
        <v>0.55169750097583226</v>
      </c>
    </row>
    <row r="23" spans="1:12" ht="12">
      <c r="A23" s="110">
        <v>2019</v>
      </c>
      <c r="B23" s="144">
        <f t="shared" si="0"/>
        <v>100</v>
      </c>
      <c r="C23" s="145">
        <f t="shared" si="0"/>
        <v>58.92322995906413</v>
      </c>
      <c r="D23" s="145">
        <f t="shared" si="0"/>
        <v>4.5225469977278587</v>
      </c>
      <c r="E23" s="145">
        <f t="shared" si="0"/>
        <v>6.721190341922366</v>
      </c>
      <c r="F23" s="145">
        <f t="shared" si="0"/>
        <v>3.7444413171586604</v>
      </c>
      <c r="G23" s="145">
        <f t="shared" si="0"/>
        <v>21.771765452483869</v>
      </c>
      <c r="H23" s="145">
        <f t="shared" si="0"/>
        <v>19.699404478656547</v>
      </c>
      <c r="I23" s="145">
        <f t="shared" si="1"/>
        <v>2.0723609738273239</v>
      </c>
      <c r="J23" s="146">
        <f t="shared" ref="J23:K26" si="8">J12/$B12*100</f>
        <v>2.0871615809491613</v>
      </c>
      <c r="K23" s="146">
        <f t="shared" si="8"/>
        <v>1.6767448918762924</v>
      </c>
      <c r="L23" s="146">
        <f t="shared" si="3"/>
        <v>0.55291945881767091</v>
      </c>
    </row>
    <row r="24" spans="1:12" ht="12">
      <c r="A24" s="110">
        <v>2020</v>
      </c>
      <c r="B24" s="144">
        <f t="shared" si="0"/>
        <v>100</v>
      </c>
      <c r="C24" s="145">
        <f t="shared" si="0"/>
        <v>58.020350172201859</v>
      </c>
      <c r="D24" s="145">
        <f t="shared" si="0"/>
        <v>4.224900819765101</v>
      </c>
      <c r="E24" s="145">
        <f t="shared" si="0"/>
        <v>8.2620091749248221</v>
      </c>
      <c r="F24" s="145">
        <f t="shared" si="0"/>
        <v>3.9103449682658944</v>
      </c>
      <c r="G24" s="145">
        <f t="shared" si="0"/>
        <v>21.733537250401003</v>
      </c>
      <c r="H24" s="145">
        <f t="shared" si="0"/>
        <v>19.734769275689203</v>
      </c>
      <c r="I24" s="145">
        <f t="shared" si="1"/>
        <v>1.9987679747117977</v>
      </c>
      <c r="J24" s="146">
        <f t="shared" si="8"/>
        <v>1.9268087483277037</v>
      </c>
      <c r="K24" s="146">
        <f t="shared" si="8"/>
        <v>1.1213476562528293</v>
      </c>
      <c r="L24" s="146">
        <f t="shared" si="3"/>
        <v>0.80070120986079041</v>
      </c>
    </row>
    <row r="25" spans="1:12" ht="12">
      <c r="A25" s="110">
        <v>2021</v>
      </c>
      <c r="B25" s="144">
        <f t="shared" si="0"/>
        <v>100</v>
      </c>
      <c r="C25" s="145">
        <f t="shared" si="0"/>
        <v>56.149321525344945</v>
      </c>
      <c r="D25" s="145">
        <f t="shared" si="0"/>
        <v>4.410362972704962</v>
      </c>
      <c r="E25" s="145">
        <f t="shared" si="0"/>
        <v>8.1117227316270366</v>
      </c>
      <c r="F25" s="145">
        <f t="shared" si="0"/>
        <v>3.9625680830656345</v>
      </c>
      <c r="G25" s="145">
        <f t="shared" si="0"/>
        <v>21.007320963351717</v>
      </c>
      <c r="H25" s="145">
        <f t="shared" si="0"/>
        <v>19.003776059431178</v>
      </c>
      <c r="I25" s="145">
        <f t="shared" si="1"/>
        <v>2.0035449039205386</v>
      </c>
      <c r="J25" s="146">
        <f t="shared" si="8"/>
        <v>2.0982069871106219</v>
      </c>
      <c r="K25" s="146">
        <f t="shared" si="8"/>
        <v>3.5588528174983391</v>
      </c>
      <c r="L25" s="146">
        <f t="shared" si="3"/>
        <v>0.70164450955136437</v>
      </c>
    </row>
    <row r="26" spans="1:12" ht="14">
      <c r="A26" s="110" t="s">
        <v>173</v>
      </c>
      <c r="B26" s="144">
        <f t="shared" si="0"/>
        <v>100</v>
      </c>
      <c r="C26" s="145">
        <f t="shared" si="0"/>
        <v>60.062709888784752</v>
      </c>
      <c r="D26" s="145">
        <f t="shared" si="0"/>
        <v>4.7093577078271665</v>
      </c>
      <c r="E26" s="145">
        <f t="shared" si="0"/>
        <v>8.1385753989065517</v>
      </c>
      <c r="F26" s="145">
        <f t="shared" si="0"/>
        <v>4.3885709392875105</v>
      </c>
      <c r="G26" s="145">
        <f t="shared" si="0"/>
        <v>19.044408121909164</v>
      </c>
      <c r="H26" s="145">
        <f t="shared" si="0"/>
        <v>17.368661670873998</v>
      </c>
      <c r="I26" s="145">
        <f t="shared" si="1"/>
        <v>1.6757464510351667</v>
      </c>
      <c r="J26" s="146">
        <f t="shared" si="8"/>
        <v>1.9025499337173193</v>
      </c>
      <c r="K26" s="146">
        <f t="shared" si="8"/>
        <v>0.97500014015945557</v>
      </c>
      <c r="L26" s="146">
        <f t="shared" si="3"/>
        <v>0.77882786940808357</v>
      </c>
    </row>
    <row r="27" spans="1:12" ht="12">
      <c r="A27" s="149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50"/>
    </row>
    <row r="28" spans="1:12" ht="14">
      <c r="A28" s="149" t="s">
        <v>174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51"/>
      <c r="L28" s="151"/>
    </row>
    <row r="29" spans="1:12" ht="14">
      <c r="A29" s="149" t="s">
        <v>149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50"/>
    </row>
    <row r="30" spans="1:12" ht="12">
      <c r="A30" s="149"/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50"/>
    </row>
    <row r="31" spans="1:12" ht="12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50"/>
    </row>
    <row r="32" spans="1:12" ht="12">
      <c r="A32" s="105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25"/>
    </row>
    <row r="33" spans="1:12" ht="12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25"/>
    </row>
  </sheetData>
  <mergeCells count="4">
    <mergeCell ref="B3:B4"/>
    <mergeCell ref="B5:L5"/>
    <mergeCell ref="A3:A4"/>
    <mergeCell ref="B16:L1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32"/>
  <sheetViews>
    <sheetView topLeftCell="A13" zoomScale="110" zoomScaleNormal="110" workbookViewId="0">
      <selection activeCell="A31" sqref="A31:XFD31"/>
    </sheetView>
  </sheetViews>
  <sheetFormatPr defaultColWidth="9.08984375" defaultRowHeight="14"/>
  <cols>
    <col min="1" max="2" width="9.08984375" style="101"/>
    <col min="3" max="10" width="12.81640625" style="101" customWidth="1"/>
    <col min="11" max="11" width="12.81640625" style="102" customWidth="1"/>
    <col min="12" max="12" width="10.453125" style="106" bestFit="1" customWidth="1"/>
    <col min="13" max="16384" width="9.08984375" style="106"/>
  </cols>
  <sheetData>
    <row r="1" spans="1:12">
      <c r="A1" s="107" t="s">
        <v>128</v>
      </c>
      <c r="B1" s="105"/>
      <c r="C1" s="105"/>
      <c r="D1" s="105"/>
      <c r="E1" s="105"/>
      <c r="F1" s="105"/>
      <c r="G1" s="105"/>
      <c r="H1" s="105"/>
      <c r="I1" s="105"/>
      <c r="J1" s="105"/>
      <c r="K1" s="125"/>
    </row>
    <row r="2" spans="1:1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25"/>
    </row>
    <row r="3" spans="1:12" ht="15" customHeight="1">
      <c r="A3" s="200" t="s">
        <v>39</v>
      </c>
      <c r="B3" s="209" t="s">
        <v>116</v>
      </c>
      <c r="C3" s="126" t="s">
        <v>92</v>
      </c>
      <c r="D3" s="127" t="s">
        <v>93</v>
      </c>
      <c r="E3" s="128" t="s">
        <v>94</v>
      </c>
      <c r="F3" s="127" t="s">
        <v>95</v>
      </c>
      <c r="G3" s="127" t="s">
        <v>96</v>
      </c>
      <c r="H3" s="127" t="s">
        <v>97</v>
      </c>
      <c r="I3" s="126" t="s">
        <v>98</v>
      </c>
      <c r="J3" s="127" t="s">
        <v>99</v>
      </c>
      <c r="K3" s="129" t="s">
        <v>100</v>
      </c>
    </row>
    <row r="4" spans="1:12" ht="148.5" customHeight="1">
      <c r="A4" s="201"/>
      <c r="B4" s="210"/>
      <c r="C4" s="139" t="s">
        <v>117</v>
      </c>
      <c r="D4" s="140" t="s">
        <v>118</v>
      </c>
      <c r="E4" s="140" t="s">
        <v>121</v>
      </c>
      <c r="F4" s="140" t="s">
        <v>163</v>
      </c>
      <c r="G4" s="140" t="s">
        <v>164</v>
      </c>
      <c r="H4" s="140" t="s">
        <v>165</v>
      </c>
      <c r="I4" s="140" t="s">
        <v>166</v>
      </c>
      <c r="J4" s="140" t="s">
        <v>167</v>
      </c>
      <c r="K4" s="141" t="s">
        <v>168</v>
      </c>
    </row>
    <row r="5" spans="1:12">
      <c r="A5" s="142"/>
      <c r="B5" s="199" t="s">
        <v>91</v>
      </c>
      <c r="C5" s="199"/>
      <c r="D5" s="199"/>
      <c r="E5" s="199"/>
      <c r="F5" s="199"/>
      <c r="G5" s="199"/>
      <c r="H5" s="199"/>
      <c r="I5" s="199"/>
      <c r="J5" s="199"/>
      <c r="K5" s="199"/>
    </row>
    <row r="6" spans="1:12">
      <c r="A6" s="143">
        <v>2013</v>
      </c>
      <c r="B6" s="144">
        <v>105635.11200000001</v>
      </c>
      <c r="C6" s="145">
        <v>37246.891000000003</v>
      </c>
      <c r="D6" s="145">
        <v>1545.8119999999999</v>
      </c>
      <c r="E6" s="145">
        <v>27246.687000000002</v>
      </c>
      <c r="F6" s="145">
        <v>5086.4479999999994</v>
      </c>
      <c r="G6" s="145">
        <v>25122.919000000002</v>
      </c>
      <c r="H6" s="145">
        <v>134.017</v>
      </c>
      <c r="I6" s="145">
        <v>4178.1900000000005</v>
      </c>
      <c r="J6" s="146">
        <v>4554.0309999999999</v>
      </c>
      <c r="K6" s="146">
        <v>520.11699999999996</v>
      </c>
      <c r="L6" s="130"/>
    </row>
    <row r="7" spans="1:12">
      <c r="A7" s="143">
        <v>2014</v>
      </c>
      <c r="B7" s="144">
        <v>107457.868</v>
      </c>
      <c r="C7" s="145">
        <v>38154.031999999999</v>
      </c>
      <c r="D7" s="145">
        <v>1457.3689999999999</v>
      </c>
      <c r="E7" s="145">
        <v>28397.237000000001</v>
      </c>
      <c r="F7" s="145">
        <v>4968.5930000000008</v>
      </c>
      <c r="G7" s="145">
        <v>25424.506000000001</v>
      </c>
      <c r="H7" s="145">
        <v>140.827</v>
      </c>
      <c r="I7" s="145">
        <v>3911.982</v>
      </c>
      <c r="J7" s="146">
        <v>4492.2829999999994</v>
      </c>
      <c r="K7" s="146">
        <v>511.03899999999999</v>
      </c>
    </row>
    <row r="8" spans="1:12" ht="14.5">
      <c r="A8" s="110" t="s">
        <v>172</v>
      </c>
      <c r="B8" s="147">
        <v>115177.4</v>
      </c>
      <c r="C8" s="145">
        <v>43403.8</v>
      </c>
      <c r="D8" s="145">
        <v>1193.8</v>
      </c>
      <c r="E8" s="145">
        <v>31113</v>
      </c>
      <c r="F8" s="145">
        <v>3379.3</v>
      </c>
      <c r="G8" s="145">
        <v>26470.6</v>
      </c>
      <c r="H8" s="145">
        <v>169.8</v>
      </c>
      <c r="I8" s="145">
        <v>3700.3</v>
      </c>
      <c r="J8" s="146">
        <v>5163.6000000000004</v>
      </c>
      <c r="K8" s="146">
        <v>583.20000000000005</v>
      </c>
    </row>
    <row r="9" spans="1:12" ht="14.5">
      <c r="A9" s="110" t="s">
        <v>147</v>
      </c>
      <c r="B9" s="147">
        <v>121774.1</v>
      </c>
      <c r="C9" s="145">
        <v>46255.144999999997</v>
      </c>
      <c r="D9" s="145">
        <v>1268.1489999999999</v>
      </c>
      <c r="E9" s="145">
        <v>32623.308000000001</v>
      </c>
      <c r="F9" s="145">
        <v>3536.79</v>
      </c>
      <c r="G9" s="145">
        <v>27807.046999999999</v>
      </c>
      <c r="H9" s="145">
        <v>227.7</v>
      </c>
      <c r="I9" s="145">
        <v>4135.9120000000003</v>
      </c>
      <c r="J9" s="146">
        <v>5230.3999999999996</v>
      </c>
      <c r="K9" s="146">
        <v>689.66200000000003</v>
      </c>
    </row>
    <row r="10" spans="1:12">
      <c r="A10" s="143">
        <v>2017</v>
      </c>
      <c r="B10" s="144">
        <v>130535.814</v>
      </c>
      <c r="C10" s="145">
        <v>51327.118999999999</v>
      </c>
      <c r="D10" s="145">
        <v>1501.605</v>
      </c>
      <c r="E10" s="145">
        <v>34472.021000000008</v>
      </c>
      <c r="F10" s="145">
        <v>3701.3900000000003</v>
      </c>
      <c r="G10" s="145">
        <v>29112.888999999996</v>
      </c>
      <c r="H10" s="145">
        <v>336.44299999999998</v>
      </c>
      <c r="I10" s="145">
        <v>3967.7950000000001</v>
      </c>
      <c r="J10" s="146">
        <v>5401.13</v>
      </c>
      <c r="K10" s="146">
        <v>715.42200000000003</v>
      </c>
    </row>
    <row r="11" spans="1:12">
      <c r="A11" s="143">
        <v>2018</v>
      </c>
      <c r="B11" s="144">
        <v>134244.4</v>
      </c>
      <c r="C11" s="145">
        <v>55123.325000000004</v>
      </c>
      <c r="D11" s="145">
        <v>1593.5800000000002</v>
      </c>
      <c r="E11" s="145">
        <v>32640.785999999993</v>
      </c>
      <c r="F11" s="145">
        <v>3989.7830000000004</v>
      </c>
      <c r="G11" s="145">
        <v>30001.050999999999</v>
      </c>
      <c r="H11" s="145">
        <v>323.86699999999996</v>
      </c>
      <c r="I11" s="145">
        <v>4061.6420000000003</v>
      </c>
      <c r="J11" s="146">
        <v>5674.2259999999997</v>
      </c>
      <c r="K11" s="146">
        <v>836.14</v>
      </c>
      <c r="L11" s="130"/>
    </row>
    <row r="12" spans="1:12">
      <c r="A12" s="110">
        <v>2019</v>
      </c>
      <c r="B12" s="144">
        <v>147838.53</v>
      </c>
      <c r="C12" s="145">
        <v>61644.815999999992</v>
      </c>
      <c r="D12" s="145">
        <v>1895.231</v>
      </c>
      <c r="E12" s="145">
        <v>36846.652999999998</v>
      </c>
      <c r="F12" s="145">
        <v>3743.027</v>
      </c>
      <c r="G12" s="145">
        <v>31710.137999999999</v>
      </c>
      <c r="H12" s="145">
        <v>311.10300000000001</v>
      </c>
      <c r="I12" s="145">
        <v>4124.2710000000006</v>
      </c>
      <c r="J12" s="146">
        <v>6661.26</v>
      </c>
      <c r="K12" s="146">
        <v>902.03100000000018</v>
      </c>
    </row>
    <row r="13" spans="1:12">
      <c r="A13" s="110">
        <v>2020</v>
      </c>
      <c r="B13" s="144">
        <v>151873.50599999999</v>
      </c>
      <c r="C13" s="145">
        <v>61329.074999999997</v>
      </c>
      <c r="D13" s="145">
        <v>2069.4380000000001</v>
      </c>
      <c r="E13" s="145">
        <v>39162.9</v>
      </c>
      <c r="F13" s="145">
        <v>4403.0330000000013</v>
      </c>
      <c r="G13" s="145">
        <v>32341.469000000001</v>
      </c>
      <c r="H13" s="145">
        <v>287.17800000000005</v>
      </c>
      <c r="I13" s="145">
        <v>3207.0830000000005</v>
      </c>
      <c r="J13" s="146">
        <v>8183.7650000000003</v>
      </c>
      <c r="K13" s="146">
        <v>889.56499999999994</v>
      </c>
    </row>
    <row r="14" spans="1:12" s="101" customFormat="1" ht="12">
      <c r="A14" s="110">
        <v>2021</v>
      </c>
      <c r="B14" s="144">
        <v>169418.41399999999</v>
      </c>
      <c r="C14" s="145">
        <v>64994.298999999999</v>
      </c>
      <c r="D14" s="145">
        <v>2209.9609999999998</v>
      </c>
      <c r="E14" s="145">
        <v>42861.591</v>
      </c>
      <c r="F14" s="145">
        <v>4903.2290000000003</v>
      </c>
      <c r="G14" s="145">
        <v>34298.546999999999</v>
      </c>
      <c r="H14" s="145">
        <v>852.07600000000002</v>
      </c>
      <c r="I14" s="145">
        <v>8173.0969999999998</v>
      </c>
      <c r="J14" s="147">
        <v>10074.507</v>
      </c>
      <c r="K14" s="148">
        <v>1051.107</v>
      </c>
    </row>
    <row r="15" spans="1:12" s="101" customFormat="1">
      <c r="A15" s="110" t="s">
        <v>173</v>
      </c>
      <c r="B15" s="144">
        <v>196205.1</v>
      </c>
      <c r="C15" s="145">
        <v>82746.100000000006</v>
      </c>
      <c r="D15" s="145">
        <v>2710.7</v>
      </c>
      <c r="E15" s="145">
        <v>52560.9</v>
      </c>
      <c r="F15" s="145">
        <v>5777.6</v>
      </c>
      <c r="G15" s="145">
        <v>36795.699999999997</v>
      </c>
      <c r="H15" s="145">
        <v>928.6</v>
      </c>
      <c r="I15" s="145">
        <v>3247.4</v>
      </c>
      <c r="J15" s="147">
        <v>10137.200000000001</v>
      </c>
      <c r="K15" s="148">
        <v>1300.8</v>
      </c>
    </row>
    <row r="16" spans="1:12">
      <c r="A16" s="149"/>
      <c r="B16" s="208" t="s">
        <v>67</v>
      </c>
      <c r="C16" s="208"/>
      <c r="D16" s="208"/>
      <c r="E16" s="208"/>
      <c r="F16" s="208"/>
      <c r="G16" s="208"/>
      <c r="H16" s="208"/>
      <c r="I16" s="208"/>
      <c r="J16" s="208"/>
      <c r="K16" s="208"/>
    </row>
    <row r="17" spans="1:11">
      <c r="A17" s="143">
        <v>2013</v>
      </c>
      <c r="B17" s="144">
        <f t="shared" ref="B17:H26" si="0">B6/$B6*100</f>
        <v>100</v>
      </c>
      <c r="C17" s="145">
        <f t="shared" si="0"/>
        <v>35.259953148911322</v>
      </c>
      <c r="D17" s="145">
        <f t="shared" si="0"/>
        <v>1.4633505571518679</v>
      </c>
      <c r="E17" s="145">
        <f t="shared" si="0"/>
        <v>25.793210689264001</v>
      </c>
      <c r="F17" s="145">
        <f t="shared" si="0"/>
        <v>4.8151110967724433</v>
      </c>
      <c r="G17" s="145">
        <f t="shared" si="0"/>
        <v>23.782735232959283</v>
      </c>
      <c r="H17" s="145">
        <f t="shared" si="0"/>
        <v>0.12686785431722739</v>
      </c>
      <c r="I17" s="145">
        <v>4</v>
      </c>
      <c r="J17" s="146">
        <f t="shared" ref="J17:K26" si="1">J6/$B6*100</f>
        <v>4.3110959166683136</v>
      </c>
      <c r="K17" s="146">
        <f t="shared" si="1"/>
        <v>0.4923713244134203</v>
      </c>
    </row>
    <row r="18" spans="1:11">
      <c r="A18" s="143">
        <v>2014</v>
      </c>
      <c r="B18" s="144">
        <f t="shared" si="0"/>
        <v>100</v>
      </c>
      <c r="C18" s="145">
        <f t="shared" si="0"/>
        <v>35.506038515485898</v>
      </c>
      <c r="D18" s="145">
        <f t="shared" si="0"/>
        <v>1.3562236317586347</v>
      </c>
      <c r="E18" s="145">
        <f t="shared" si="0"/>
        <v>26.42639159749568</v>
      </c>
      <c r="F18" s="145">
        <f t="shared" si="0"/>
        <v>4.6237591462358072</v>
      </c>
      <c r="G18" s="145">
        <f t="shared" si="0"/>
        <v>23.65997620574419</v>
      </c>
      <c r="H18" s="145">
        <f t="shared" si="0"/>
        <v>0.13105322357596</v>
      </c>
      <c r="I18" s="145">
        <f t="shared" ref="I18:I26" si="2">I7/$B7*100</f>
        <v>3.6404798204259925</v>
      </c>
      <c r="J18" s="146">
        <f t="shared" si="1"/>
        <v>4.1805063543602037</v>
      </c>
      <c r="K18" s="146">
        <f t="shared" si="1"/>
        <v>0.47557150491762967</v>
      </c>
    </row>
    <row r="19" spans="1:11">
      <c r="A19" s="143">
        <v>2015</v>
      </c>
      <c r="B19" s="144">
        <f t="shared" si="0"/>
        <v>100</v>
      </c>
      <c r="C19" s="145">
        <f t="shared" si="0"/>
        <v>37.684302649651755</v>
      </c>
      <c r="D19" s="145">
        <f t="shared" si="0"/>
        <v>1.0364880610258609</v>
      </c>
      <c r="E19" s="145">
        <f t="shared" si="0"/>
        <v>27.01311194730911</v>
      </c>
      <c r="F19" s="145">
        <f t="shared" si="0"/>
        <v>2.9339957318015517</v>
      </c>
      <c r="G19" s="145">
        <f t="shared" si="0"/>
        <v>22.982460100679472</v>
      </c>
      <c r="H19" s="145">
        <f t="shared" si="0"/>
        <v>0.14742475520371187</v>
      </c>
      <c r="I19" s="145">
        <f t="shared" si="2"/>
        <v>3.212696240755565</v>
      </c>
      <c r="J19" s="146">
        <f>J8/$B8*100</f>
        <v>4.4831711776789556</v>
      </c>
      <c r="K19" s="146">
        <f t="shared" si="1"/>
        <v>0.50634933589402098</v>
      </c>
    </row>
    <row r="20" spans="1:11">
      <c r="A20" s="143">
        <v>2016</v>
      </c>
      <c r="B20" s="144">
        <f t="shared" si="0"/>
        <v>100</v>
      </c>
      <c r="C20" s="145">
        <f t="shared" si="0"/>
        <v>37.984386663502335</v>
      </c>
      <c r="D20" s="145">
        <f t="shared" si="0"/>
        <v>1.0413946808065095</v>
      </c>
      <c r="E20" s="145">
        <f t="shared" si="0"/>
        <v>26.790021851937318</v>
      </c>
      <c r="F20" s="145">
        <f t="shared" si="0"/>
        <v>2.904386072243605</v>
      </c>
      <c r="G20" s="145">
        <f t="shared" si="0"/>
        <v>22.834943555320876</v>
      </c>
      <c r="H20" s="145">
        <f t="shared" si="0"/>
        <v>0.18698557410812314</v>
      </c>
      <c r="I20" s="145">
        <f t="shared" si="2"/>
        <v>3.396380675365287</v>
      </c>
      <c r="J20" s="146">
        <f t="shared" si="1"/>
        <v>4.29516621350517</v>
      </c>
      <c r="K20" s="146">
        <f t="shared" si="1"/>
        <v>0.56634538871566287</v>
      </c>
    </row>
    <row r="21" spans="1:11">
      <c r="A21" s="143">
        <v>2017</v>
      </c>
      <c r="B21" s="144">
        <f t="shared" si="0"/>
        <v>100</v>
      </c>
      <c r="C21" s="145">
        <f t="shared" si="0"/>
        <v>39.320334724384523</v>
      </c>
      <c r="D21" s="145">
        <f t="shared" si="0"/>
        <v>1.1503394769499808</v>
      </c>
      <c r="E21" s="145">
        <f t="shared" si="0"/>
        <v>26.408094410013799</v>
      </c>
      <c r="F21" s="145">
        <f t="shared" si="0"/>
        <v>2.8355360008709951</v>
      </c>
      <c r="G21" s="145">
        <f t="shared" si="0"/>
        <v>22.302606547502737</v>
      </c>
      <c r="H21" s="145">
        <f t="shared" si="0"/>
        <v>0.25773999463472913</v>
      </c>
      <c r="I21" s="145">
        <f t="shared" si="2"/>
        <v>3.039621754685653</v>
      </c>
      <c r="J21" s="146">
        <f t="shared" si="1"/>
        <v>4.1376614083855952</v>
      </c>
      <c r="K21" s="146">
        <f t="shared" si="1"/>
        <v>0.54806568257198751</v>
      </c>
    </row>
    <row r="22" spans="1:11">
      <c r="A22" s="143">
        <v>2018</v>
      </c>
      <c r="B22" s="144">
        <f t="shared" si="0"/>
        <v>100</v>
      </c>
      <c r="C22" s="145">
        <f t="shared" si="0"/>
        <v>41.061917666584236</v>
      </c>
      <c r="D22" s="145">
        <f t="shared" si="0"/>
        <v>1.1870737252354662</v>
      </c>
      <c r="E22" s="145">
        <f t="shared" si="0"/>
        <v>24.314448870865373</v>
      </c>
      <c r="F22" s="145">
        <f t="shared" si="0"/>
        <v>2.9720293732922944</v>
      </c>
      <c r="G22" s="145">
        <f t="shared" si="0"/>
        <v>22.348083793439429</v>
      </c>
      <c r="H22" s="145">
        <f t="shared" si="0"/>
        <v>0.24125177661042099</v>
      </c>
      <c r="I22" s="145">
        <f t="shared" si="2"/>
        <v>3.0255578631212923</v>
      </c>
      <c r="J22" s="146">
        <f t="shared" si="1"/>
        <v>4.2267878585624423</v>
      </c>
      <c r="K22" s="146">
        <f t="shared" si="1"/>
        <v>0.62284907228904896</v>
      </c>
    </row>
    <row r="23" spans="1:11">
      <c r="A23" s="110">
        <v>2019</v>
      </c>
      <c r="B23" s="144">
        <f t="shared" si="0"/>
        <v>100</v>
      </c>
      <c r="C23" s="145">
        <f t="shared" si="0"/>
        <v>41.697395124261575</v>
      </c>
      <c r="D23" s="145">
        <f t="shared" si="0"/>
        <v>1.2819601223037052</v>
      </c>
      <c r="E23" s="145">
        <f t="shared" si="0"/>
        <v>24.923579123791342</v>
      </c>
      <c r="F23" s="145">
        <f t="shared" si="0"/>
        <v>2.5318345630195322</v>
      </c>
      <c r="G23" s="145">
        <f t="shared" si="0"/>
        <v>21.44917025351916</v>
      </c>
      <c r="H23" s="145">
        <f t="shared" si="0"/>
        <v>0.21043431641264293</v>
      </c>
      <c r="I23" s="145">
        <f t="shared" si="2"/>
        <v>2.7897132094048831</v>
      </c>
      <c r="J23" s="146">
        <f t="shared" si="1"/>
        <v>4.5057672042599455</v>
      </c>
      <c r="K23" s="146">
        <f t="shared" si="1"/>
        <v>0.61014608302720552</v>
      </c>
    </row>
    <row r="24" spans="1:11">
      <c r="A24" s="110">
        <v>2020</v>
      </c>
      <c r="B24" s="144">
        <f t="shared" si="0"/>
        <v>100</v>
      </c>
      <c r="C24" s="145">
        <f t="shared" si="0"/>
        <v>40.381681186710736</v>
      </c>
      <c r="D24" s="145">
        <f t="shared" si="0"/>
        <v>1.3626063258195937</v>
      </c>
      <c r="E24" s="145">
        <f t="shared" si="0"/>
        <v>25.786525267942391</v>
      </c>
      <c r="F24" s="145">
        <f t="shared" si="0"/>
        <v>2.8991448975965577</v>
      </c>
      <c r="G24" s="145">
        <f t="shared" si="0"/>
        <v>21.295003883034084</v>
      </c>
      <c r="H24" s="145">
        <f t="shared" si="0"/>
        <v>0.18909025514957167</v>
      </c>
      <c r="I24" s="145">
        <f t="shared" si="2"/>
        <v>2.1116803611552899</v>
      </c>
      <c r="J24" s="146">
        <f t="shared" si="1"/>
        <v>5.3885402500683703</v>
      </c>
      <c r="K24" s="146">
        <f t="shared" si="1"/>
        <v>0.58572757252341301</v>
      </c>
    </row>
    <row r="25" spans="1:11" s="101" customFormat="1" ht="12">
      <c r="A25" s="110">
        <v>2021</v>
      </c>
      <c r="B25" s="144">
        <f t="shared" si="0"/>
        <v>100</v>
      </c>
      <c r="C25" s="145">
        <f t="shared" si="0"/>
        <v>38.363184653587894</v>
      </c>
      <c r="D25" s="145">
        <f t="shared" si="0"/>
        <v>1.3044396697043805</v>
      </c>
      <c r="E25" s="145">
        <f t="shared" si="0"/>
        <v>25.299251709439329</v>
      </c>
      <c r="F25" s="145">
        <f t="shared" si="0"/>
        <v>2.8941535245395467</v>
      </c>
      <c r="G25" s="145">
        <f t="shared" si="0"/>
        <v>20.244875506861966</v>
      </c>
      <c r="H25" s="145">
        <f t="shared" si="0"/>
        <v>0.50294178766187714</v>
      </c>
      <c r="I25" s="145">
        <f t="shared" si="2"/>
        <v>4.8242081879009922</v>
      </c>
      <c r="J25" s="146">
        <f t="shared" si="1"/>
        <v>5.9465242072210645</v>
      </c>
      <c r="K25" s="146">
        <f t="shared" si="1"/>
        <v>0.62042075308295586</v>
      </c>
    </row>
    <row r="26" spans="1:11" s="101" customFormat="1">
      <c r="A26" s="110" t="s">
        <v>173</v>
      </c>
      <c r="B26" s="144">
        <f t="shared" si="0"/>
        <v>100</v>
      </c>
      <c r="C26" s="145">
        <f t="shared" si="0"/>
        <v>42.173266648012721</v>
      </c>
      <c r="D26" s="145">
        <f t="shared" si="0"/>
        <v>1.3815644955202488</v>
      </c>
      <c r="E26" s="145">
        <f t="shared" si="0"/>
        <v>26.788753197546853</v>
      </c>
      <c r="F26" s="145">
        <f t="shared" si="0"/>
        <v>2.94467371133574</v>
      </c>
      <c r="G26" s="145">
        <f t="shared" si="0"/>
        <v>18.753691927477927</v>
      </c>
      <c r="H26" s="145">
        <f t="shared" si="0"/>
        <v>0.47328025622167824</v>
      </c>
      <c r="I26" s="145">
        <f t="shared" si="2"/>
        <v>1.6551047857573529</v>
      </c>
      <c r="J26" s="146">
        <f t="shared" si="1"/>
        <v>5.1666343025741943</v>
      </c>
      <c r="K26" s="146">
        <f t="shared" si="1"/>
        <v>0.66297970847852572</v>
      </c>
    </row>
    <row r="27" spans="1:11">
      <c r="A27" s="149"/>
      <c r="B27" s="149"/>
      <c r="C27" s="149"/>
      <c r="D27" s="149"/>
      <c r="E27" s="149"/>
      <c r="F27" s="149"/>
      <c r="G27" s="149"/>
      <c r="H27" s="149"/>
      <c r="I27" s="149"/>
      <c r="J27" s="149"/>
      <c r="K27" s="150"/>
    </row>
    <row r="28" spans="1:11" s="101" customFormat="1">
      <c r="A28" s="149" t="s">
        <v>171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51"/>
    </row>
    <row r="29" spans="1:11" ht="14.5">
      <c r="A29" s="149" t="s">
        <v>149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50"/>
    </row>
    <row r="30" spans="1:11">
      <c r="A30" s="149"/>
      <c r="B30" s="149"/>
      <c r="C30" s="149"/>
      <c r="D30" s="149"/>
      <c r="E30" s="149"/>
      <c r="F30" s="149"/>
      <c r="G30" s="149"/>
      <c r="H30" s="149"/>
      <c r="I30" s="149"/>
      <c r="J30" s="149"/>
      <c r="K30" s="150"/>
    </row>
    <row r="31" spans="1:11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50"/>
    </row>
    <row r="32" spans="1:11">
      <c r="A32" s="105"/>
      <c r="B32" s="105"/>
      <c r="C32" s="105"/>
      <c r="D32" s="105"/>
      <c r="E32" s="105"/>
      <c r="F32" s="105"/>
      <c r="G32" s="105"/>
      <c r="H32" s="105"/>
      <c r="I32" s="105"/>
      <c r="J32" s="105"/>
      <c r="K32" s="125"/>
    </row>
  </sheetData>
  <mergeCells count="4">
    <mergeCell ref="B3:B4"/>
    <mergeCell ref="B5:K5"/>
    <mergeCell ref="A3:A4"/>
    <mergeCell ref="B16:K16"/>
  </mergeCells>
  <pageMargins left="0.7" right="0.7" top="0.75" bottom="0.75" header="0.3" footer="0.3"/>
  <pageSetup paperSize="9" scale="9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32"/>
  <sheetViews>
    <sheetView zoomScaleNormal="100" workbookViewId="0">
      <pane ySplit="4" topLeftCell="A11" activePane="bottomLeft" state="frozen"/>
      <selection pane="bottomLeft" activeCell="A28" sqref="A28"/>
    </sheetView>
  </sheetViews>
  <sheetFormatPr defaultColWidth="9.08984375" defaultRowHeight="11.5"/>
  <cols>
    <col min="1" max="2" width="9.08984375" style="101"/>
    <col min="3" max="8" width="14.453125" style="101" customWidth="1"/>
    <col min="9" max="9" width="14.453125" style="102" customWidth="1"/>
    <col min="10" max="16384" width="9.08984375" style="101"/>
  </cols>
  <sheetData>
    <row r="1" spans="1:11" ht="12">
      <c r="A1" s="107" t="s">
        <v>127</v>
      </c>
      <c r="B1" s="105"/>
      <c r="C1" s="105"/>
      <c r="D1" s="105"/>
      <c r="E1" s="105"/>
      <c r="F1" s="105"/>
      <c r="G1" s="105"/>
      <c r="H1" s="105"/>
      <c r="I1" s="125"/>
      <c r="J1" s="105"/>
      <c r="K1" s="105"/>
    </row>
    <row r="2" spans="1:11" ht="12">
      <c r="A2" s="105"/>
      <c r="B2" s="105"/>
      <c r="C2" s="105"/>
      <c r="D2" s="105"/>
      <c r="E2" s="105"/>
      <c r="F2" s="105"/>
      <c r="G2" s="105"/>
      <c r="H2" s="105"/>
      <c r="I2" s="125"/>
      <c r="J2" s="105"/>
      <c r="K2" s="105"/>
    </row>
    <row r="3" spans="1:11" ht="15" customHeight="1">
      <c r="A3" s="213" t="s">
        <v>39</v>
      </c>
      <c r="B3" s="211" t="s">
        <v>116</v>
      </c>
      <c r="C3" s="127" t="s">
        <v>101</v>
      </c>
      <c r="D3" s="127" t="s">
        <v>102</v>
      </c>
      <c r="E3" s="127" t="s">
        <v>103</v>
      </c>
      <c r="F3" s="127" t="s">
        <v>104</v>
      </c>
      <c r="G3" s="127" t="s">
        <v>105</v>
      </c>
      <c r="H3" s="127" t="s">
        <v>106</v>
      </c>
      <c r="I3" s="127" t="s">
        <v>107</v>
      </c>
      <c r="J3" s="105"/>
      <c r="K3" s="105"/>
    </row>
    <row r="4" spans="1:11" ht="94.5" customHeight="1">
      <c r="A4" s="213"/>
      <c r="B4" s="211"/>
      <c r="C4" s="121" t="s">
        <v>133</v>
      </c>
      <c r="D4" s="121" t="s">
        <v>132</v>
      </c>
      <c r="E4" s="121" t="s">
        <v>108</v>
      </c>
      <c r="F4" s="121" t="s">
        <v>122</v>
      </c>
      <c r="G4" s="121" t="s">
        <v>109</v>
      </c>
      <c r="H4" s="121" t="s">
        <v>110</v>
      </c>
      <c r="I4" s="121" t="s">
        <v>131</v>
      </c>
      <c r="J4" s="105"/>
      <c r="K4" s="105"/>
    </row>
    <row r="5" spans="1:11" ht="12">
      <c r="A5" s="122"/>
      <c r="B5" s="212" t="s">
        <v>91</v>
      </c>
      <c r="C5" s="212"/>
      <c r="D5" s="212"/>
      <c r="E5" s="212"/>
      <c r="F5" s="212"/>
      <c r="G5" s="212"/>
      <c r="H5" s="212"/>
      <c r="I5" s="212"/>
      <c r="J5" s="105"/>
      <c r="K5" s="105"/>
    </row>
    <row r="6" spans="1:11" ht="12">
      <c r="A6" s="123">
        <v>2013</v>
      </c>
      <c r="B6" s="114">
        <v>105635.11200000001</v>
      </c>
      <c r="C6" s="134">
        <v>12241.611000000001</v>
      </c>
      <c r="D6" s="134">
        <v>119.83</v>
      </c>
      <c r="E6" s="134">
        <v>62014.710000000006</v>
      </c>
      <c r="F6" s="134">
        <v>396.24900000000002</v>
      </c>
      <c r="G6" s="134">
        <v>4237.915</v>
      </c>
      <c r="H6" s="134">
        <v>26597.510999999999</v>
      </c>
      <c r="I6" s="124">
        <v>27.286000000000001</v>
      </c>
      <c r="J6" s="115"/>
      <c r="K6" s="115"/>
    </row>
    <row r="7" spans="1:11" ht="12">
      <c r="A7" s="123">
        <v>2014</v>
      </c>
      <c r="B7" s="114">
        <v>107457.868</v>
      </c>
      <c r="C7" s="134">
        <v>11886.897999999999</v>
      </c>
      <c r="D7" s="134">
        <v>152.04</v>
      </c>
      <c r="E7" s="134">
        <v>63549.514999999999</v>
      </c>
      <c r="F7" s="134">
        <v>419.12900000000002</v>
      </c>
      <c r="G7" s="134">
        <v>4868.8950000000004</v>
      </c>
      <c r="H7" s="134">
        <v>26566.316999999999</v>
      </c>
      <c r="I7" s="124">
        <v>15.074</v>
      </c>
      <c r="J7" s="115"/>
      <c r="K7" s="115"/>
    </row>
    <row r="8" spans="1:11" ht="14">
      <c r="A8" s="109" t="s">
        <v>146</v>
      </c>
      <c r="B8" s="135">
        <v>115177.4</v>
      </c>
      <c r="C8" s="134">
        <v>12501.512000000001</v>
      </c>
      <c r="D8" s="134">
        <v>31.302</v>
      </c>
      <c r="E8" s="134">
        <v>67354.168000000005</v>
      </c>
      <c r="F8" s="134">
        <v>465.34</v>
      </c>
      <c r="G8" s="134">
        <v>5752.0649999999996</v>
      </c>
      <c r="H8" s="134">
        <v>29060.458999999999</v>
      </c>
      <c r="I8" s="124">
        <v>12.551</v>
      </c>
      <c r="J8" s="115"/>
      <c r="K8" s="115"/>
    </row>
    <row r="9" spans="1:11" ht="14">
      <c r="A9" s="110" t="s">
        <v>147</v>
      </c>
      <c r="B9" s="135">
        <v>121774.1</v>
      </c>
      <c r="C9" s="134">
        <v>13281.588000000002</v>
      </c>
      <c r="D9" s="134">
        <v>14.824999999999999</v>
      </c>
      <c r="E9" s="134">
        <v>70510.633000000002</v>
      </c>
      <c r="F9" s="134">
        <v>581.52299999999991</v>
      </c>
      <c r="G9" s="134">
        <v>6540.192</v>
      </c>
      <c r="H9" s="134">
        <v>30835.971000000001</v>
      </c>
      <c r="I9" s="124">
        <v>9.3610000000000007</v>
      </c>
      <c r="J9" s="115"/>
      <c r="K9" s="115"/>
    </row>
    <row r="10" spans="1:11" ht="12">
      <c r="A10" s="123">
        <v>2017</v>
      </c>
      <c r="B10" s="114">
        <v>130535.814</v>
      </c>
      <c r="C10" s="134">
        <v>14857.945354602278</v>
      </c>
      <c r="D10" s="134">
        <v>25.692138765649389</v>
      </c>
      <c r="E10" s="134">
        <v>74980.516999999993</v>
      </c>
      <c r="F10" s="134">
        <v>600.60299999999995</v>
      </c>
      <c r="G10" s="134">
        <v>7361.2820000000002</v>
      </c>
      <c r="H10" s="134">
        <v>32695.791035988645</v>
      </c>
      <c r="I10" s="124">
        <v>13.983470643425592</v>
      </c>
      <c r="J10" s="115"/>
      <c r="K10" s="115"/>
    </row>
    <row r="11" spans="1:11" ht="12">
      <c r="A11" s="123">
        <v>2018</v>
      </c>
      <c r="B11" s="114">
        <v>134244.4</v>
      </c>
      <c r="C11" s="134">
        <v>14779.974</v>
      </c>
      <c r="D11" s="134">
        <v>69.897999999999996</v>
      </c>
      <c r="E11" s="134">
        <v>80649.577000000005</v>
      </c>
      <c r="F11" s="134">
        <v>597.476</v>
      </c>
      <c r="G11" s="134">
        <v>8196.5540000000001</v>
      </c>
      <c r="H11" s="134">
        <v>29942.535</v>
      </c>
      <c r="I11" s="124">
        <v>8.3859999999999992</v>
      </c>
      <c r="J11" s="115"/>
      <c r="K11" s="115"/>
    </row>
    <row r="12" spans="1:11" ht="12">
      <c r="A12" s="113">
        <v>2019</v>
      </c>
      <c r="B12" s="114">
        <v>147838.53</v>
      </c>
      <c r="C12" s="134">
        <v>16112.747461000001</v>
      </c>
      <c r="D12" s="134">
        <v>72.816999999999993</v>
      </c>
      <c r="E12" s="134">
        <v>89421.769539000001</v>
      </c>
      <c r="F12" s="134">
        <v>625.18599999999992</v>
      </c>
      <c r="G12" s="134">
        <v>9166.5069999999996</v>
      </c>
      <c r="H12" s="134">
        <v>32430.767</v>
      </c>
      <c r="I12" s="124">
        <v>8.7360000000000007</v>
      </c>
      <c r="J12" s="115"/>
      <c r="K12" s="115"/>
    </row>
    <row r="13" spans="1:11" ht="12">
      <c r="A13" s="113">
        <v>2020</v>
      </c>
      <c r="B13" s="114">
        <v>151873.50599999999</v>
      </c>
      <c r="C13" s="134">
        <v>16334.951999999999</v>
      </c>
      <c r="D13" s="134">
        <v>85.962000000000003</v>
      </c>
      <c r="E13" s="134">
        <v>92853.267000000007</v>
      </c>
      <c r="F13" s="134">
        <v>596.56600000000003</v>
      </c>
      <c r="G13" s="134">
        <v>9023.9470000000001</v>
      </c>
      <c r="H13" s="134">
        <v>32972.455000000002</v>
      </c>
      <c r="I13" s="124">
        <v>6.3570000000000002</v>
      </c>
      <c r="J13" s="115"/>
      <c r="K13" s="115"/>
    </row>
    <row r="14" spans="1:11" ht="12">
      <c r="A14" s="113">
        <v>2021</v>
      </c>
      <c r="B14" s="114">
        <v>169418.41399999999</v>
      </c>
      <c r="C14" s="134">
        <v>27124.268</v>
      </c>
      <c r="D14" s="134">
        <v>87.992999999999995</v>
      </c>
      <c r="E14" s="134">
        <v>95030.906000000003</v>
      </c>
      <c r="F14" s="134">
        <v>601.61300000000006</v>
      </c>
      <c r="G14" s="134">
        <v>9745.0329999999994</v>
      </c>
      <c r="H14" s="134">
        <v>36822.093000000001</v>
      </c>
      <c r="I14" s="124">
        <v>6.508</v>
      </c>
      <c r="J14" s="115"/>
      <c r="K14" s="115"/>
    </row>
    <row r="15" spans="1:11" ht="14">
      <c r="A15" s="113" t="s">
        <v>148</v>
      </c>
      <c r="B15" s="136">
        <v>196205.1</v>
      </c>
      <c r="C15" s="134">
        <v>21923.1</v>
      </c>
      <c r="D15" s="134">
        <v>118.1</v>
      </c>
      <c r="E15" s="134">
        <v>121762.6</v>
      </c>
      <c r="F15" s="134">
        <v>630.6</v>
      </c>
      <c r="G15" s="134">
        <v>10636.2</v>
      </c>
      <c r="H15" s="134">
        <v>41111.4</v>
      </c>
      <c r="I15" s="124">
        <v>23.1</v>
      </c>
      <c r="J15" s="115"/>
      <c r="K15" s="115"/>
    </row>
    <row r="16" spans="1:11" ht="12">
      <c r="A16" s="105"/>
      <c r="B16" s="214" t="s">
        <v>67</v>
      </c>
      <c r="C16" s="214"/>
      <c r="D16" s="214"/>
      <c r="E16" s="214"/>
      <c r="F16" s="214"/>
      <c r="G16" s="214"/>
      <c r="H16" s="214"/>
      <c r="I16" s="214"/>
      <c r="J16" s="115"/>
      <c r="K16" s="115"/>
    </row>
    <row r="17" spans="1:11" ht="12">
      <c r="A17" s="123">
        <v>2013</v>
      </c>
      <c r="B17" s="114">
        <f t="shared" ref="B17:H26" si="0">B6/$B6*100</f>
        <v>100</v>
      </c>
      <c r="C17" s="134">
        <f t="shared" si="0"/>
        <v>11.58858145575687</v>
      </c>
      <c r="D17" s="134">
        <f t="shared" si="0"/>
        <v>0.11343766076567419</v>
      </c>
      <c r="E17" s="134">
        <f t="shared" si="0"/>
        <v>58.706531214734738</v>
      </c>
      <c r="F17" s="134">
        <f t="shared" si="0"/>
        <v>0.37511107102343016</v>
      </c>
      <c r="G17" s="134">
        <f t="shared" si="0"/>
        <v>4.0118431454874584</v>
      </c>
      <c r="H17" s="134">
        <f t="shared" si="0"/>
        <v>25.178665025697132</v>
      </c>
      <c r="I17" s="124">
        <v>0</v>
      </c>
      <c r="J17" s="115"/>
      <c r="K17" s="115"/>
    </row>
    <row r="18" spans="1:11" ht="12">
      <c r="A18" s="123">
        <v>2014</v>
      </c>
      <c r="B18" s="114">
        <f t="shared" si="0"/>
        <v>100</v>
      </c>
      <c r="C18" s="134">
        <f t="shared" si="0"/>
        <v>11.061914982344522</v>
      </c>
      <c r="D18" s="134">
        <f t="shared" si="0"/>
        <v>0.14148801091047142</v>
      </c>
      <c r="E18" s="134">
        <f t="shared" si="0"/>
        <v>59.139005996284979</v>
      </c>
      <c r="F18" s="134">
        <f t="shared" si="0"/>
        <v>0.39004030863519457</v>
      </c>
      <c r="G18" s="134">
        <f t="shared" si="0"/>
        <v>4.5309804583132065</v>
      </c>
      <c r="H18" s="134">
        <f t="shared" si="0"/>
        <v>24.72254242006737</v>
      </c>
      <c r="I18" s="124">
        <f t="shared" ref="I18:I26" si="1">I7/$B7*100</f>
        <v>1.4027823444254447E-2</v>
      </c>
      <c r="J18" s="115"/>
      <c r="K18" s="115"/>
    </row>
    <row r="19" spans="1:11" ht="12">
      <c r="A19" s="123">
        <v>2015</v>
      </c>
      <c r="B19" s="114">
        <f t="shared" si="0"/>
        <v>100</v>
      </c>
      <c r="C19" s="134">
        <f t="shared" si="0"/>
        <v>10.854136314936785</v>
      </c>
      <c r="D19" s="134">
        <f t="shared" si="0"/>
        <v>2.7177206639496986E-2</v>
      </c>
      <c r="E19" s="134">
        <f t="shared" si="0"/>
        <v>58.47863209275431</v>
      </c>
      <c r="F19" s="134">
        <f t="shared" si="0"/>
        <v>0.40402023313601454</v>
      </c>
      <c r="G19" s="134">
        <f t="shared" si="0"/>
        <v>4.9940917228553516</v>
      </c>
      <c r="H19" s="134">
        <f t="shared" si="0"/>
        <v>25.231042721922876</v>
      </c>
      <c r="I19" s="124">
        <f t="shared" si="1"/>
        <v>1.0897103077513471E-2</v>
      </c>
      <c r="J19" s="115"/>
      <c r="K19" s="115"/>
    </row>
    <row r="20" spans="1:11" ht="12">
      <c r="A20" s="123">
        <v>2016</v>
      </c>
      <c r="B20" s="114">
        <f t="shared" si="0"/>
        <v>100</v>
      </c>
      <c r="C20" s="134">
        <f t="shared" si="0"/>
        <v>10.906742895246198</v>
      </c>
      <c r="D20" s="134">
        <f t="shared" si="0"/>
        <v>1.2174181537781843E-2</v>
      </c>
      <c r="E20" s="134">
        <f t="shared" si="0"/>
        <v>57.902815951832117</v>
      </c>
      <c r="F20" s="134">
        <f t="shared" si="0"/>
        <v>0.47754243307895516</v>
      </c>
      <c r="G20" s="134">
        <f t="shared" si="0"/>
        <v>5.3707578212444185</v>
      </c>
      <c r="H20" s="134">
        <f t="shared" si="0"/>
        <v>25.322273783998405</v>
      </c>
      <c r="I20" s="124">
        <f t="shared" si="1"/>
        <v>7.6871847133339524E-3</v>
      </c>
      <c r="J20" s="115"/>
      <c r="K20" s="115"/>
    </row>
    <row r="21" spans="1:11" ht="12">
      <c r="A21" s="123">
        <v>2017</v>
      </c>
      <c r="B21" s="114">
        <f t="shared" si="0"/>
        <v>100</v>
      </c>
      <c r="C21" s="134">
        <f t="shared" si="0"/>
        <v>11.382275024233794</v>
      </c>
      <c r="D21" s="134">
        <f t="shared" si="0"/>
        <v>1.9682061174145962E-2</v>
      </c>
      <c r="E21" s="134">
        <f t="shared" si="0"/>
        <v>57.440571060444753</v>
      </c>
      <c r="F21" s="134">
        <f t="shared" si="0"/>
        <v>0.46010591392182987</v>
      </c>
      <c r="G21" s="134">
        <f t="shared" si="0"/>
        <v>5.6392814925105537</v>
      </c>
      <c r="H21" s="134">
        <f t="shared" si="0"/>
        <v>25.047372084406387</v>
      </c>
      <c r="I21" s="124">
        <f t="shared" si="1"/>
        <v>1.0712363308528948E-2</v>
      </c>
      <c r="J21" s="115"/>
      <c r="K21" s="115"/>
    </row>
    <row r="22" spans="1:11" ht="12">
      <c r="A22" s="123">
        <v>2018</v>
      </c>
      <c r="B22" s="114">
        <f t="shared" si="0"/>
        <v>100</v>
      </c>
      <c r="C22" s="134">
        <f t="shared" si="0"/>
        <v>11.009750872289645</v>
      </c>
      <c r="D22" s="134">
        <f t="shared" si="0"/>
        <v>5.2067721260626136E-2</v>
      </c>
      <c r="E22" s="134">
        <f t="shared" si="0"/>
        <v>60.076678803734097</v>
      </c>
      <c r="F22" s="134">
        <f t="shared" si="0"/>
        <v>0.44506586494483197</v>
      </c>
      <c r="G22" s="134">
        <f t="shared" si="0"/>
        <v>6.1056952841235832</v>
      </c>
      <c r="H22" s="134">
        <f t="shared" si="0"/>
        <v>22.304494638137605</v>
      </c>
      <c r="I22" s="124">
        <f t="shared" si="1"/>
        <v>6.246815509622747E-3</v>
      </c>
      <c r="J22" s="115"/>
      <c r="K22" s="115"/>
    </row>
    <row r="23" spans="1:11" ht="12">
      <c r="A23" s="113">
        <v>2019</v>
      </c>
      <c r="B23" s="114">
        <f t="shared" si="0"/>
        <v>100</v>
      </c>
      <c r="C23" s="134">
        <f t="shared" si="0"/>
        <v>10.898882355634894</v>
      </c>
      <c r="D23" s="134">
        <f t="shared" si="0"/>
        <v>4.9254412905756023E-2</v>
      </c>
      <c r="E23" s="134">
        <f t="shared" si="0"/>
        <v>60.48610571209008</v>
      </c>
      <c r="F23" s="134">
        <f t="shared" si="0"/>
        <v>0.42288434550857612</v>
      </c>
      <c r="G23" s="134">
        <f t="shared" si="0"/>
        <v>6.200350476969704</v>
      </c>
      <c r="H23" s="134">
        <f t="shared" si="0"/>
        <v>21.936613547226152</v>
      </c>
      <c r="I23" s="124">
        <f t="shared" si="1"/>
        <v>5.9091496648404178E-3</v>
      </c>
      <c r="J23" s="115"/>
      <c r="K23" s="115"/>
    </row>
    <row r="24" spans="1:11" ht="12">
      <c r="A24" s="113">
        <v>2020</v>
      </c>
      <c r="B24" s="114">
        <f t="shared" si="0"/>
        <v>100</v>
      </c>
      <c r="C24" s="134">
        <f t="shared" si="0"/>
        <v>10.755629754145533</v>
      </c>
      <c r="D24" s="134">
        <f t="shared" si="0"/>
        <v>5.6601050613791719E-2</v>
      </c>
      <c r="E24" s="134">
        <f t="shared" si="0"/>
        <v>61.13855500247687</v>
      </c>
      <c r="F24" s="134">
        <f t="shared" si="0"/>
        <v>0.39280452246884984</v>
      </c>
      <c r="G24" s="134">
        <f t="shared" si="0"/>
        <v>5.941751947176356</v>
      </c>
      <c r="H24" s="134">
        <f t="shared" si="0"/>
        <v>21.710472002931176</v>
      </c>
      <c r="I24" s="124">
        <f t="shared" si="1"/>
        <v>4.1857201874301898E-3</v>
      </c>
      <c r="J24" s="115"/>
      <c r="K24" s="115"/>
    </row>
    <row r="25" spans="1:11" ht="14">
      <c r="A25" s="113" t="s">
        <v>150</v>
      </c>
      <c r="B25" s="114">
        <f t="shared" si="0"/>
        <v>100</v>
      </c>
      <c r="C25" s="134">
        <f t="shared" si="0"/>
        <v>16.010224248705342</v>
      </c>
      <c r="D25" s="134">
        <f t="shared" si="0"/>
        <v>5.1938273958815361E-2</v>
      </c>
      <c r="E25" s="134">
        <f t="shared" si="0"/>
        <v>56.092430424947793</v>
      </c>
      <c r="F25" s="134">
        <f t="shared" si="0"/>
        <v>0.35510484710357404</v>
      </c>
      <c r="G25" s="134">
        <f t="shared" si="0"/>
        <v>5.7520506596172005</v>
      </c>
      <c r="H25" s="134">
        <f t="shared" si="0"/>
        <v>21.73441016866089</v>
      </c>
      <c r="I25" s="124">
        <f t="shared" si="1"/>
        <v>3.8413770063979E-3</v>
      </c>
      <c r="J25" s="115"/>
      <c r="K25" s="115"/>
    </row>
    <row r="26" spans="1:11" ht="14">
      <c r="A26" s="113" t="s">
        <v>148</v>
      </c>
      <c r="B26" s="114">
        <f t="shared" si="0"/>
        <v>100</v>
      </c>
      <c r="C26" s="134">
        <f t="shared" si="0"/>
        <v>11.173562766717072</v>
      </c>
      <c r="D26" s="134">
        <f t="shared" si="0"/>
        <v>6.019211529160047E-2</v>
      </c>
      <c r="E26" s="134">
        <f t="shared" si="0"/>
        <v>62.058835371761489</v>
      </c>
      <c r="F26" s="134">
        <f t="shared" si="0"/>
        <v>0.32139837343677613</v>
      </c>
      <c r="G26" s="134">
        <f t="shared" si="0"/>
        <v>5.4209600056267657</v>
      </c>
      <c r="H26" s="134">
        <f t="shared" si="0"/>
        <v>20.953277972896728</v>
      </c>
      <c r="I26" s="124">
        <f t="shared" si="1"/>
        <v>1.1773394269567918E-2</v>
      </c>
      <c r="J26" s="115"/>
      <c r="K26" s="115"/>
    </row>
    <row r="27" spans="1:11" ht="15" customHeight="1">
      <c r="A27" s="105"/>
      <c r="B27" s="115"/>
      <c r="C27" s="115"/>
      <c r="D27" s="115"/>
      <c r="E27" s="115"/>
      <c r="F27" s="115"/>
      <c r="G27" s="115"/>
      <c r="H27" s="115"/>
      <c r="I27" s="137"/>
      <c r="J27" s="115"/>
      <c r="K27" s="115"/>
    </row>
    <row r="28" spans="1:11" ht="14">
      <c r="A28" s="115" t="s">
        <v>171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38"/>
    </row>
    <row r="29" spans="1:11" ht="14">
      <c r="A29" s="115" t="s">
        <v>149</v>
      </c>
      <c r="B29" s="105"/>
      <c r="C29" s="105"/>
      <c r="D29" s="105"/>
      <c r="E29" s="105"/>
      <c r="F29" s="105"/>
      <c r="G29" s="105"/>
      <c r="H29" s="105"/>
      <c r="I29" s="125"/>
      <c r="J29" s="105"/>
      <c r="K29" s="105"/>
    </row>
    <row r="30" spans="1:11" ht="12">
      <c r="A30" s="115"/>
      <c r="B30" s="105"/>
      <c r="C30" s="105"/>
      <c r="D30" s="105"/>
      <c r="E30" s="105"/>
      <c r="F30" s="105"/>
      <c r="G30" s="105"/>
      <c r="H30" s="105"/>
      <c r="I30" s="125"/>
      <c r="J30" s="105"/>
      <c r="K30" s="105"/>
    </row>
    <row r="31" spans="1:11" ht="15" customHeight="1">
      <c r="A31" s="115"/>
      <c r="B31" s="105"/>
      <c r="C31" s="105"/>
      <c r="D31" s="105"/>
      <c r="E31" s="105"/>
      <c r="F31" s="105"/>
      <c r="G31" s="105"/>
      <c r="H31" s="105"/>
      <c r="I31" s="125"/>
      <c r="J31" s="105"/>
      <c r="K31" s="105"/>
    </row>
    <row r="32" spans="1:11" ht="12">
      <c r="A32" s="105"/>
      <c r="B32" s="105"/>
      <c r="C32" s="105"/>
      <c r="D32" s="105"/>
      <c r="E32" s="105"/>
      <c r="F32" s="105"/>
      <c r="G32" s="105"/>
      <c r="H32" s="105"/>
      <c r="I32" s="125"/>
      <c r="J32" s="105"/>
      <c r="K32" s="105"/>
    </row>
  </sheetData>
  <mergeCells count="4">
    <mergeCell ref="B3:B4"/>
    <mergeCell ref="B5:I5"/>
    <mergeCell ref="A3:A4"/>
    <mergeCell ref="B16:I16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3"/>
  <sheetViews>
    <sheetView tabSelected="1" zoomScale="110" zoomScaleNormal="110" workbookViewId="0">
      <selection activeCell="A20" sqref="A20"/>
    </sheetView>
  </sheetViews>
  <sheetFormatPr defaultColWidth="8.90625" defaultRowHeight="12"/>
  <cols>
    <col min="1" max="1" width="8.90625" style="105"/>
    <col min="2" max="5" width="10.6328125" style="105" customWidth="1"/>
    <col min="6" max="16384" width="8.90625" style="105"/>
  </cols>
  <sheetData>
    <row r="1" spans="1:5" ht="14">
      <c r="A1" s="107" t="s">
        <v>190</v>
      </c>
    </row>
    <row r="3" spans="1:5" ht="30" customHeight="1">
      <c r="A3" s="191" t="s">
        <v>39</v>
      </c>
      <c r="B3" s="198" t="s">
        <v>61</v>
      </c>
      <c r="C3" s="198"/>
      <c r="D3" s="198"/>
      <c r="E3" s="198"/>
    </row>
    <row r="4" spans="1:5" ht="21.75" customHeight="1">
      <c r="A4" s="192"/>
      <c r="B4" s="161" t="s">
        <v>183</v>
      </c>
      <c r="C4" s="198" t="s">
        <v>114</v>
      </c>
      <c r="D4" s="198"/>
      <c r="E4" s="198"/>
    </row>
    <row r="5" spans="1:5" ht="31.5" customHeight="1">
      <c r="A5" s="193"/>
      <c r="B5" s="161" t="s">
        <v>119</v>
      </c>
      <c r="C5" s="161" t="s">
        <v>119</v>
      </c>
      <c r="D5" s="161" t="s">
        <v>184</v>
      </c>
      <c r="E5" s="161" t="s">
        <v>185</v>
      </c>
    </row>
    <row r="6" spans="1:5">
      <c r="A6" s="162">
        <v>2013</v>
      </c>
      <c r="B6" s="163">
        <v>72619337</v>
      </c>
      <c r="C6" s="163">
        <v>71685956</v>
      </c>
      <c r="D6" s="164">
        <v>4.701643339673379</v>
      </c>
      <c r="E6" s="165">
        <v>4.3532465671235743</v>
      </c>
    </row>
    <row r="7" spans="1:5">
      <c r="A7" s="162">
        <v>2014</v>
      </c>
      <c r="B7" s="163">
        <v>73389604</v>
      </c>
      <c r="C7" s="163">
        <v>72851289</v>
      </c>
      <c r="D7" s="164">
        <v>4.5666200087757787</v>
      </c>
      <c r="E7" s="165">
        <v>4.2572122385819906</v>
      </c>
    </row>
    <row r="8" spans="1:5">
      <c r="A8" s="162">
        <v>2015</v>
      </c>
      <c r="B8" s="163">
        <v>74741209</v>
      </c>
      <c r="C8" s="163">
        <v>77176920</v>
      </c>
      <c r="D8" s="164">
        <v>4.7182808583481073</v>
      </c>
      <c r="E8" s="165">
        <v>4.2849595139003016</v>
      </c>
    </row>
    <row r="9" spans="1:5">
      <c r="A9" s="162">
        <v>2016</v>
      </c>
      <c r="B9" s="163">
        <v>79806564</v>
      </c>
      <c r="C9" s="163">
        <v>80941181</v>
      </c>
      <c r="D9" s="164">
        <v>4.6821993983918553</v>
      </c>
      <c r="E9" s="165">
        <v>4.3435334402654808</v>
      </c>
    </row>
    <row r="10" spans="1:5">
      <c r="A10" s="166" t="s">
        <v>17</v>
      </c>
      <c r="B10" s="163">
        <v>84628723</v>
      </c>
      <c r="C10" s="163">
        <v>87584176</v>
      </c>
      <c r="D10" s="164">
        <v>4.893790914678438</v>
      </c>
      <c r="E10" s="165">
        <v>4.4015798294833495</v>
      </c>
    </row>
    <row r="11" spans="1:5">
      <c r="A11" s="167">
        <v>2018</v>
      </c>
      <c r="B11" s="163">
        <v>89959024</v>
      </c>
      <c r="C11" s="163">
        <v>93538330</v>
      </c>
      <c r="D11" s="164">
        <v>5.0528484226447707</v>
      </c>
      <c r="E11" s="165">
        <v>4.408951453061551</v>
      </c>
    </row>
    <row r="12" spans="1:5">
      <c r="A12" s="167">
        <v>2019</v>
      </c>
      <c r="B12" s="163">
        <v>97571206</v>
      </c>
      <c r="C12" s="163">
        <v>102617481</v>
      </c>
      <c r="D12" s="164">
        <v>5.1772100802179501</v>
      </c>
      <c r="E12" s="165">
        <v>4.4748615798280049</v>
      </c>
    </row>
    <row r="13" spans="1:5">
      <c r="A13" s="167">
        <v>2020</v>
      </c>
      <c r="B13" s="163">
        <v>107813018</v>
      </c>
      <c r="C13" s="163">
        <v>116306568.39673001</v>
      </c>
      <c r="D13" s="164">
        <v>5.4973090890357801</v>
      </c>
      <c r="E13" s="165">
        <v>5.0048892121565904</v>
      </c>
    </row>
    <row r="14" spans="1:5">
      <c r="A14" s="167">
        <v>2021</v>
      </c>
      <c r="B14" s="163">
        <v>120525630</v>
      </c>
      <c r="C14" s="163">
        <v>141318383</v>
      </c>
      <c r="D14" s="164">
        <v>6.2156220531315984</v>
      </c>
      <c r="E14" s="165">
        <v>5.38930604072916</v>
      </c>
    </row>
    <row r="15" spans="1:5" ht="12" customHeight="1">
      <c r="A15" s="167">
        <v>2022</v>
      </c>
      <c r="B15" s="163">
        <v>133629540</v>
      </c>
      <c r="C15" s="168" t="s">
        <v>134</v>
      </c>
      <c r="D15" s="164">
        <v>6.5</v>
      </c>
      <c r="E15" s="165">
        <v>4.91</v>
      </c>
    </row>
    <row r="16" spans="1:5">
      <c r="A16" s="167">
        <v>2023</v>
      </c>
      <c r="B16" s="163">
        <v>165537327</v>
      </c>
      <c r="C16" s="168">
        <v>184824215</v>
      </c>
      <c r="D16" s="169">
        <v>7.05</v>
      </c>
      <c r="E16" s="165">
        <v>5.36</v>
      </c>
    </row>
    <row r="18" spans="1:14" ht="14">
      <c r="A18" s="115" t="s">
        <v>186</v>
      </c>
    </row>
    <row r="19" spans="1:14" ht="14">
      <c r="A19" s="115" t="s">
        <v>187</v>
      </c>
    </row>
    <row r="20" spans="1:14" ht="14">
      <c r="A20" s="115" t="s">
        <v>188</v>
      </c>
    </row>
    <row r="21" spans="1:14" ht="14">
      <c r="A21" s="115" t="s">
        <v>189</v>
      </c>
      <c r="K21" s="115"/>
      <c r="L21" s="115"/>
      <c r="M21" s="115"/>
      <c r="N21" s="115"/>
    </row>
    <row r="23" spans="1:14">
      <c r="A23" s="170" t="s">
        <v>123</v>
      </c>
    </row>
  </sheetData>
  <mergeCells count="3">
    <mergeCell ref="A3:A5"/>
    <mergeCell ref="B3:E3"/>
    <mergeCell ref="C4:E4"/>
  </mergeCells>
  <pageMargins left="0.7" right="0.7" top="0.75" bottom="0.75" header="0.3" footer="0.3"/>
  <pageSetup paperSize="9" orientation="portrait" r:id="rId1"/>
  <ignoredErrors>
    <ignoredError sqref="A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17"/>
  <sheetViews>
    <sheetView workbookViewId="0">
      <selection activeCell="B28" sqref="B28"/>
    </sheetView>
  </sheetViews>
  <sheetFormatPr defaultRowHeight="14.5"/>
  <cols>
    <col min="2" max="2" width="10.54296875" customWidth="1"/>
    <col min="3" max="3" width="11.08984375" customWidth="1"/>
    <col min="10" max="10" width="15.36328125" customWidth="1"/>
    <col min="11" max="11" width="12.54296875" customWidth="1"/>
    <col min="12" max="13" width="12.08984375" customWidth="1"/>
    <col min="15" max="15" width="11.453125" customWidth="1"/>
  </cols>
  <sheetData>
    <row r="3" spans="1:15">
      <c r="I3" t="s">
        <v>47</v>
      </c>
    </row>
    <row r="4" spans="1:15" ht="15.9" customHeight="1">
      <c r="A4" s="182" t="s">
        <v>39</v>
      </c>
      <c r="B4" s="60"/>
      <c r="C4" s="60"/>
      <c r="D4" s="182" t="s">
        <v>40</v>
      </c>
      <c r="E4" s="182"/>
      <c r="F4" s="182" t="s">
        <v>35</v>
      </c>
      <c r="G4" s="182"/>
      <c r="H4" s="182" t="s">
        <v>1</v>
      </c>
      <c r="I4" s="182"/>
      <c r="K4" s="55" t="s">
        <v>48</v>
      </c>
      <c r="L4" s="55"/>
      <c r="N4" s="55" t="s">
        <v>49</v>
      </c>
      <c r="O4" s="55"/>
    </row>
    <row r="5" spans="1:15" ht="15.5">
      <c r="A5" s="182"/>
      <c r="B5" s="60"/>
      <c r="C5" s="60"/>
      <c r="D5" s="60" t="s">
        <v>50</v>
      </c>
      <c r="E5" s="60" t="s">
        <v>42</v>
      </c>
      <c r="F5" s="60" t="s">
        <v>50</v>
      </c>
      <c r="G5" s="60" t="s">
        <v>42</v>
      </c>
      <c r="H5" s="60" t="s">
        <v>50</v>
      </c>
      <c r="I5" s="60" t="s">
        <v>42</v>
      </c>
      <c r="K5" s="67" t="s">
        <v>52</v>
      </c>
      <c r="L5" s="67" t="s">
        <v>1</v>
      </c>
      <c r="N5" s="67" t="s">
        <v>52</v>
      </c>
      <c r="O5" s="67" t="s">
        <v>1</v>
      </c>
    </row>
    <row r="6" spans="1:15" ht="15.5">
      <c r="A6" s="60">
        <v>2009</v>
      </c>
      <c r="B6" s="60"/>
      <c r="C6" s="60"/>
      <c r="D6" s="61">
        <v>60.5</v>
      </c>
      <c r="E6" s="62">
        <v>5.1799999999999999E-2</v>
      </c>
      <c r="F6" s="60">
        <v>64.2</v>
      </c>
      <c r="G6" s="62">
        <v>5.5E-2</v>
      </c>
      <c r="H6" s="60">
        <v>63.3</v>
      </c>
      <c r="I6" s="62">
        <v>5.4199999999999998E-2</v>
      </c>
      <c r="K6" s="68">
        <f>D7-D6</f>
        <v>2.3999999999999986</v>
      </c>
      <c r="L6" s="68">
        <f>H7-H6</f>
        <v>2.2000000000000028</v>
      </c>
      <c r="N6" s="69">
        <f>D7/D6-1</f>
        <v>3.9669421487603218E-2</v>
      </c>
      <c r="O6" s="69">
        <f t="shared" ref="O6:O16" si="0">H7/H6-1</f>
        <v>3.4755134281200695E-2</v>
      </c>
    </row>
    <row r="7" spans="1:15" ht="15.5">
      <c r="A7" s="60">
        <v>2010</v>
      </c>
      <c r="B7" s="60"/>
      <c r="C7" s="60"/>
      <c r="D7" s="61">
        <v>62.9</v>
      </c>
      <c r="E7" s="62">
        <v>4.9500000000000002E-2</v>
      </c>
      <c r="F7" s="60">
        <v>66.5</v>
      </c>
      <c r="G7" s="62">
        <v>5.2299999999999999E-2</v>
      </c>
      <c r="H7" s="60">
        <v>65.5</v>
      </c>
      <c r="I7" s="62">
        <v>5.1499999999999997E-2</v>
      </c>
      <c r="K7" s="68">
        <f t="shared" ref="K7:K16" si="1">D8-D7</f>
        <v>3.0000000000000071</v>
      </c>
      <c r="L7" s="68">
        <f t="shared" ref="L7:L15" si="2">H8-H7</f>
        <v>2.2000000000000028</v>
      </c>
      <c r="N7" s="69">
        <f t="shared" ref="N7:N16" si="3">D8/D7-1</f>
        <v>4.7694753577106619E-2</v>
      </c>
      <c r="O7" s="69">
        <f t="shared" si="0"/>
        <v>3.3587786259541952E-2</v>
      </c>
    </row>
    <row r="8" spans="1:15" ht="15.5">
      <c r="A8" s="60">
        <v>2011</v>
      </c>
      <c r="B8" s="60"/>
      <c r="C8" s="60"/>
      <c r="D8" s="61">
        <v>65.900000000000006</v>
      </c>
      <c r="E8" s="62">
        <v>4.9099999999999998E-2</v>
      </c>
      <c r="F8" s="60">
        <v>68.099999999999994</v>
      </c>
      <c r="G8" s="62">
        <v>5.0700000000000002E-2</v>
      </c>
      <c r="H8" s="60">
        <v>67.7</v>
      </c>
      <c r="I8" s="62">
        <v>5.04E-2</v>
      </c>
      <c r="K8" s="68">
        <f t="shared" si="1"/>
        <v>4.5999999999999943</v>
      </c>
      <c r="L8" s="68">
        <f t="shared" si="2"/>
        <v>1.2999999999999972</v>
      </c>
      <c r="N8" s="69">
        <f t="shared" si="3"/>
        <v>6.9802731411229058E-2</v>
      </c>
      <c r="O8" s="69">
        <f t="shared" si="0"/>
        <v>1.9202363367799125E-2</v>
      </c>
    </row>
    <row r="9" spans="1:15" ht="15.5">
      <c r="A9" s="60">
        <v>2012</v>
      </c>
      <c r="B9" s="60"/>
      <c r="C9" s="60"/>
      <c r="D9" s="61">
        <v>70.5</v>
      </c>
      <c r="E9" s="62">
        <v>4.9799999999999997E-2</v>
      </c>
      <c r="F9" s="60">
        <v>71.900000000000006</v>
      </c>
      <c r="G9" s="62">
        <v>5.0799999999999998E-2</v>
      </c>
      <c r="H9" s="60">
        <v>69</v>
      </c>
      <c r="I9" s="62">
        <v>4.87E-2</v>
      </c>
      <c r="K9" s="68">
        <f t="shared" si="1"/>
        <v>2.0999999999999943</v>
      </c>
      <c r="L9" s="68">
        <f t="shared" si="2"/>
        <v>2.7000000000000028</v>
      </c>
      <c r="N9" s="69">
        <f t="shared" si="3"/>
        <v>2.9787234042553123E-2</v>
      </c>
      <c r="O9" s="69">
        <f t="shared" si="0"/>
        <v>3.9130434782608692E-2</v>
      </c>
    </row>
    <row r="10" spans="1:15" ht="15.5">
      <c r="A10" s="60">
        <v>2013</v>
      </c>
      <c r="B10" s="60"/>
      <c r="C10" s="60"/>
      <c r="D10" s="61">
        <v>72.599999999999994</v>
      </c>
      <c r="E10" s="62">
        <v>4.7600000000000003E-2</v>
      </c>
      <c r="F10" s="60">
        <v>74</v>
      </c>
      <c r="G10" s="62">
        <v>4.8599999999999997E-2</v>
      </c>
      <c r="H10" s="60">
        <v>71.7</v>
      </c>
      <c r="I10" s="62">
        <v>4.7E-2</v>
      </c>
      <c r="K10" s="68">
        <f t="shared" si="1"/>
        <v>0.80000000000001137</v>
      </c>
      <c r="L10" s="68">
        <f t="shared" si="2"/>
        <v>1.2000000000000028</v>
      </c>
      <c r="N10" s="69">
        <f t="shared" si="3"/>
        <v>1.1019283746556585E-2</v>
      </c>
      <c r="O10" s="69">
        <f t="shared" si="0"/>
        <v>1.6736401673640211E-2</v>
      </c>
    </row>
    <row r="11" spans="1:15" ht="15.5">
      <c r="A11" s="60">
        <v>2014</v>
      </c>
      <c r="B11" s="60"/>
      <c r="C11" s="60"/>
      <c r="D11" s="61">
        <v>73.400000000000006</v>
      </c>
      <c r="E11" s="62">
        <v>4.5999999999999999E-2</v>
      </c>
      <c r="F11" s="60">
        <v>75.3</v>
      </c>
      <c r="G11" s="62">
        <v>4.7199999999999999E-2</v>
      </c>
      <c r="H11" s="60">
        <v>72.900000000000006</v>
      </c>
      <c r="I11" s="62">
        <v>4.5699999999999998E-2</v>
      </c>
      <c r="K11" s="68">
        <f t="shared" si="1"/>
        <v>1.2999999999999972</v>
      </c>
      <c r="L11" s="68">
        <f t="shared" si="2"/>
        <v>4.2999999999999972</v>
      </c>
      <c r="N11" s="69">
        <f t="shared" si="3"/>
        <v>1.7711171662125214E-2</v>
      </c>
      <c r="O11" s="69">
        <f t="shared" si="0"/>
        <v>5.8984910836762605E-2</v>
      </c>
    </row>
    <row r="12" spans="1:15" ht="15.5">
      <c r="A12" s="60">
        <v>2015</v>
      </c>
      <c r="B12" s="60"/>
      <c r="C12" s="60"/>
      <c r="D12" s="61">
        <v>74.7</v>
      </c>
      <c r="E12" s="62">
        <v>4.5699999999999998E-2</v>
      </c>
      <c r="F12" s="60">
        <v>78.400000000000006</v>
      </c>
      <c r="G12" s="62">
        <v>4.8000000000000001E-2</v>
      </c>
      <c r="H12" s="60">
        <v>77.2</v>
      </c>
      <c r="I12" s="62">
        <v>4.7199999999999999E-2</v>
      </c>
      <c r="K12" s="68">
        <f t="shared" si="1"/>
        <v>5.0999999999999943</v>
      </c>
      <c r="L12" s="68">
        <f t="shared" si="2"/>
        <v>3.7000000000000028</v>
      </c>
      <c r="N12" s="69">
        <f t="shared" si="3"/>
        <v>6.8273092369477872E-2</v>
      </c>
      <c r="O12" s="69">
        <f t="shared" si="0"/>
        <v>4.7927461139896321E-2</v>
      </c>
    </row>
    <row r="13" spans="1:15" ht="15.5">
      <c r="A13" s="60">
        <v>2016</v>
      </c>
      <c r="B13" s="60"/>
      <c r="C13" s="60"/>
      <c r="D13" s="61">
        <v>79.8</v>
      </c>
      <c r="E13" s="62">
        <v>4.6199999999999998E-2</v>
      </c>
      <c r="F13" s="60">
        <v>82.4</v>
      </c>
      <c r="G13" s="62">
        <v>4.7699999999999999E-2</v>
      </c>
      <c r="H13" s="60">
        <v>80.900000000000006</v>
      </c>
      <c r="I13" s="62">
        <v>4.6800000000000001E-2</v>
      </c>
      <c r="K13" s="68">
        <f t="shared" si="1"/>
        <v>4.7999999999999972</v>
      </c>
      <c r="L13" s="68">
        <f t="shared" si="2"/>
        <v>6.6999999999999886</v>
      </c>
      <c r="N13" s="69">
        <f t="shared" si="3"/>
        <v>6.0150375939849621E-2</v>
      </c>
      <c r="O13" s="69">
        <f t="shared" si="0"/>
        <v>8.2818294190358355E-2</v>
      </c>
    </row>
    <row r="14" spans="1:15" ht="15.5">
      <c r="A14" s="60">
        <v>2017</v>
      </c>
      <c r="B14" s="60"/>
      <c r="C14" s="60"/>
      <c r="D14" s="61">
        <v>84.6</v>
      </c>
      <c r="E14" s="62">
        <v>4.7300000000000002E-2</v>
      </c>
      <c r="F14" s="60">
        <v>90.5</v>
      </c>
      <c r="G14" s="62">
        <v>5.0599999999999999E-2</v>
      </c>
      <c r="H14" s="60">
        <v>87.6</v>
      </c>
      <c r="I14" s="62">
        <v>4.8899999999999999E-2</v>
      </c>
      <c r="K14" s="68">
        <f t="shared" si="1"/>
        <v>5.4000000000000057</v>
      </c>
      <c r="L14" s="68">
        <f t="shared" si="2"/>
        <v>5.9000000000000057</v>
      </c>
      <c r="N14" s="69">
        <f t="shared" si="3"/>
        <v>6.3829787234042534E-2</v>
      </c>
      <c r="O14" s="69">
        <f t="shared" si="0"/>
        <v>6.7351598173515992E-2</v>
      </c>
    </row>
    <row r="15" spans="1:15" ht="15.5">
      <c r="A15" s="60">
        <v>2018</v>
      </c>
      <c r="B15" s="63">
        <v>88.487359999999995</v>
      </c>
      <c r="C15" s="62">
        <v>4.7800000000000002E-2</v>
      </c>
      <c r="D15" s="63">
        <v>90</v>
      </c>
      <c r="E15" s="62">
        <v>4.8599999999999997E-2</v>
      </c>
      <c r="F15" s="64">
        <v>95</v>
      </c>
      <c r="G15" s="62">
        <v>5.1299999999999998E-2</v>
      </c>
      <c r="H15" s="60">
        <v>93.5</v>
      </c>
      <c r="I15" s="62">
        <v>5.0500000000000003E-2</v>
      </c>
      <c r="K15" s="68">
        <f t="shared" si="1"/>
        <v>7.5999999999999943</v>
      </c>
      <c r="L15" s="68">
        <f t="shared" si="2"/>
        <v>9.0999999999999943</v>
      </c>
      <c r="N15" s="69">
        <f t="shared" si="3"/>
        <v>8.4444444444444322E-2</v>
      </c>
      <c r="O15" s="69">
        <f t="shared" si="0"/>
        <v>9.7326203208556006E-2</v>
      </c>
    </row>
    <row r="16" spans="1:15" ht="15.5">
      <c r="A16" s="60">
        <v>2019</v>
      </c>
      <c r="B16" s="63">
        <v>96.330060000000003</v>
      </c>
      <c r="C16" s="62">
        <v>4.8599999999999997E-2</v>
      </c>
      <c r="D16" s="61">
        <v>97.6</v>
      </c>
      <c r="E16" s="62">
        <v>4.9200000000000001E-2</v>
      </c>
      <c r="F16" s="60">
        <v>104.5</v>
      </c>
      <c r="G16" s="61" t="s">
        <v>51</v>
      </c>
      <c r="H16" s="60">
        <v>102.6</v>
      </c>
      <c r="I16" s="61" t="s">
        <v>43</v>
      </c>
      <c r="K16" s="68">
        <f t="shared" si="1"/>
        <v>10.200000000000003</v>
      </c>
      <c r="L16" s="68">
        <f>H17-H16</f>
        <v>13.700000000000003</v>
      </c>
      <c r="N16" s="69">
        <f t="shared" si="3"/>
        <v>0.10450819672131151</v>
      </c>
      <c r="O16" s="69">
        <f t="shared" si="0"/>
        <v>0.1335282651072125</v>
      </c>
    </row>
    <row r="17" spans="1:15" ht="15.5">
      <c r="A17" s="60">
        <v>2020</v>
      </c>
      <c r="B17" s="63">
        <v>106.41970999999999</v>
      </c>
      <c r="C17" s="62">
        <v>5.0299999999999997E-2</v>
      </c>
      <c r="D17" s="61">
        <v>107.8</v>
      </c>
      <c r="E17" s="62">
        <v>5.0999999999999997E-2</v>
      </c>
      <c r="F17" s="60">
        <v>123.7</v>
      </c>
      <c r="G17" s="62">
        <v>5.8500000000000003E-2</v>
      </c>
      <c r="H17" s="65">
        <v>116.3</v>
      </c>
      <c r="I17" s="66">
        <v>5.5E-2</v>
      </c>
      <c r="K17" s="68"/>
      <c r="L17" s="68"/>
      <c r="N17" s="69"/>
      <c r="O17" s="69"/>
    </row>
  </sheetData>
  <mergeCells count="4">
    <mergeCell ref="A4:A5"/>
    <mergeCell ref="D4:E4"/>
    <mergeCell ref="F4:G4"/>
    <mergeCell ref="H4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22"/>
  <sheetViews>
    <sheetView workbookViewId="0">
      <selection activeCell="B28" sqref="B28"/>
    </sheetView>
  </sheetViews>
  <sheetFormatPr defaultColWidth="8.6328125" defaultRowHeight="13"/>
  <cols>
    <col min="1" max="1" width="8.6328125" style="53" customWidth="1"/>
    <col min="2" max="2" width="14" style="53" customWidth="1"/>
    <col min="3" max="3" width="15.08984375" style="53" customWidth="1"/>
    <col min="4" max="4" width="12.54296875" style="59" customWidth="1"/>
    <col min="5" max="5" width="13.453125" style="53" customWidth="1"/>
    <col min="6" max="6" width="12.6328125" style="53" customWidth="1"/>
    <col min="7" max="7" width="9.453125" style="53" customWidth="1"/>
    <col min="8" max="8" width="9.6328125" style="53" customWidth="1"/>
    <col min="9" max="9" width="13.90625" style="53" customWidth="1"/>
    <col min="10" max="10" width="9.6328125" style="53" customWidth="1"/>
    <col min="11" max="11" width="9.08984375" style="53" customWidth="1"/>
    <col min="12" max="16384" width="8.6328125" style="53"/>
  </cols>
  <sheetData>
    <row r="3" spans="1:11">
      <c r="K3" s="53" t="s">
        <v>57</v>
      </c>
    </row>
    <row r="4" spans="1:11" ht="39.9" customHeight="1">
      <c r="A4" s="73" t="s">
        <v>39</v>
      </c>
      <c r="B4" s="73" t="s">
        <v>60</v>
      </c>
      <c r="C4" s="73" t="s">
        <v>59</v>
      </c>
      <c r="D4" s="183" t="s">
        <v>58</v>
      </c>
      <c r="E4" s="183"/>
      <c r="F4" s="184" t="s">
        <v>40</v>
      </c>
      <c r="G4" s="185"/>
      <c r="H4" s="186"/>
      <c r="I4" s="184" t="s">
        <v>1</v>
      </c>
      <c r="J4" s="185"/>
      <c r="K4" s="186"/>
    </row>
    <row r="5" spans="1:11" ht="20.149999999999999" customHeight="1">
      <c r="A5" s="73"/>
      <c r="B5" s="73" t="s">
        <v>41</v>
      </c>
      <c r="C5" s="73" t="s">
        <v>41</v>
      </c>
      <c r="D5" s="73" t="s">
        <v>41</v>
      </c>
      <c r="E5" s="73" t="s">
        <v>42</v>
      </c>
      <c r="F5" s="73" t="s">
        <v>41</v>
      </c>
      <c r="G5" s="73" t="s">
        <v>55</v>
      </c>
      <c r="H5" s="84" t="s">
        <v>56</v>
      </c>
      <c r="I5" s="73" t="s">
        <v>41</v>
      </c>
      <c r="J5" s="73" t="s">
        <v>55</v>
      </c>
      <c r="K5" s="84" t="s">
        <v>56</v>
      </c>
    </row>
    <row r="6" spans="1:1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7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7" si="3">I6/B6</f>
        <v>3.8007792275974589E-2</v>
      </c>
    </row>
    <row r="7" spans="1:1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ref="H8:H21" si="4">F8/B8</f>
        <v>3.8581779414283271E-2</v>
      </c>
      <c r="I8" s="58">
        <v>46860739</v>
      </c>
      <c r="J8" s="79">
        <f>I8/C8</f>
        <v>4.7311714260329457E-2</v>
      </c>
      <c r="K8" s="80">
        <f t="shared" ref="K8:K21" si="5">I8/B8</f>
        <v>4.0127366843637609E-2</v>
      </c>
    </row>
    <row r="9" spans="1:1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6">F9/C9</f>
        <v>4.8589960591648718E-2</v>
      </c>
      <c r="H9" s="80">
        <f t="shared" si="4"/>
        <v>4.0876547927970436E-2</v>
      </c>
      <c r="I9" s="58">
        <v>57087971</v>
      </c>
      <c r="J9" s="79">
        <f t="shared" ref="J9:J21" si="7">I9/C9</f>
        <v>5.3362021229660203E-2</v>
      </c>
      <c r="K9" s="80">
        <f t="shared" si="5"/>
        <v>4.4891067861917121E-2</v>
      </c>
    </row>
    <row r="10" spans="1:1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6"/>
        <v>5.184539133413256E-2</v>
      </c>
      <c r="H10" s="80">
        <f t="shared" si="4"/>
        <v>4.5048398809523812E-2</v>
      </c>
      <c r="I10" s="58">
        <v>63317619</v>
      </c>
      <c r="J10" s="79">
        <f t="shared" si="7"/>
        <v>5.4219574413426959E-2</v>
      </c>
      <c r="K10" s="80">
        <f t="shared" si="5"/>
        <v>4.7111323660714285E-2</v>
      </c>
    </row>
    <row r="11" spans="1:1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6"/>
        <v>4.9958554690571678E-2</v>
      </c>
      <c r="H11" s="80">
        <f t="shared" si="4"/>
        <v>4.4886458951533134E-2</v>
      </c>
      <c r="I11" s="58">
        <v>65487971</v>
      </c>
      <c r="J11" s="79">
        <f t="shared" si="7"/>
        <v>5.1496399308012898E-2</v>
      </c>
      <c r="K11" s="80">
        <f t="shared" si="5"/>
        <v>4.6268172248127737E-2</v>
      </c>
    </row>
    <row r="12" spans="1:1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6"/>
        <v>4.9786770833333334E-2</v>
      </c>
      <c r="H12" s="80">
        <f t="shared" si="4"/>
        <v>4.3886285826720009E-2</v>
      </c>
      <c r="I12" s="58">
        <v>67690079</v>
      </c>
      <c r="J12" s="79">
        <f t="shared" si="7"/>
        <v>5.0364642113095236E-2</v>
      </c>
      <c r="K12" s="80">
        <f t="shared" si="5"/>
        <v>4.4395670623729261E-2</v>
      </c>
    </row>
    <row r="13" spans="1:1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6"/>
        <v>4.981364773208987E-2</v>
      </c>
      <c r="H13" s="80">
        <f t="shared" si="4"/>
        <v>4.4196224534570297E-2</v>
      </c>
      <c r="I13" s="58">
        <v>68973371</v>
      </c>
      <c r="J13" s="79">
        <f t="shared" si="7"/>
        <v>4.8730656351561395E-2</v>
      </c>
      <c r="K13" s="80">
        <f t="shared" si="5"/>
        <v>4.3235360747194883E-2</v>
      </c>
    </row>
    <row r="14" spans="1:1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6"/>
        <v>4.8022126975798517E-2</v>
      </c>
      <c r="H14" s="80">
        <f t="shared" si="4"/>
        <v>4.4763304395671576E-2</v>
      </c>
      <c r="I14" s="58">
        <v>71685956</v>
      </c>
      <c r="J14" s="79">
        <f t="shared" si="7"/>
        <v>4.7016433396733781E-2</v>
      </c>
      <c r="K14" s="80">
        <f t="shared" si="5"/>
        <v>4.382585804242832E-2</v>
      </c>
    </row>
    <row r="15" spans="1:1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6"/>
        <v>4.6257508932489186E-2</v>
      </c>
      <c r="H15" s="80">
        <f t="shared" si="4"/>
        <v>4.2687918088737203E-2</v>
      </c>
      <c r="I15" s="58">
        <v>72851289</v>
      </c>
      <c r="J15" s="79">
        <f t="shared" si="7"/>
        <v>4.5666200087757791E-2</v>
      </c>
      <c r="K15" s="80">
        <f t="shared" si="5"/>
        <v>4.2142239254931449E-2</v>
      </c>
    </row>
    <row r="16" spans="1:1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6"/>
        <v>4.5693714617594916E-2</v>
      </c>
      <c r="H16" s="80">
        <f t="shared" si="4"/>
        <v>4.1761864558305863E-2</v>
      </c>
      <c r="I16" s="58">
        <v>77176920</v>
      </c>
      <c r="J16" s="79">
        <f t="shared" si="7"/>
        <v>4.7182808583481076E-2</v>
      </c>
      <c r="K16" s="80">
        <f t="shared" si="5"/>
        <v>4.3122825054478404E-2</v>
      </c>
    </row>
    <row r="17" spans="1:12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6"/>
        <v>4.6165652802684101E-2</v>
      </c>
      <c r="H17" s="80">
        <f t="shared" si="4"/>
        <v>4.3110719533275714E-2</v>
      </c>
      <c r="I17" s="58">
        <v>80941181</v>
      </c>
      <c r="J17" s="79">
        <f t="shared" si="7"/>
        <v>4.682199398391855E-2</v>
      </c>
      <c r="K17" s="80">
        <f t="shared" si="5"/>
        <v>4.3723628457216938E-2</v>
      </c>
    </row>
    <row r="18" spans="1:12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6"/>
        <v>4.7286541319774264E-2</v>
      </c>
      <c r="H18" s="80">
        <f t="shared" si="4"/>
        <v>4.2696495131426267E-2</v>
      </c>
      <c r="I18" s="58">
        <v>87584176</v>
      </c>
      <c r="J18" s="79">
        <f t="shared" si="7"/>
        <v>4.8937909146784378E-2</v>
      </c>
      <c r="K18" s="80">
        <f t="shared" si="5"/>
        <v>4.4187566722163361E-2</v>
      </c>
    </row>
    <row r="19" spans="1:12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6"/>
        <v>4.8594978392394121E-2</v>
      </c>
      <c r="H19" s="80">
        <f t="shared" si="4"/>
        <v>4.2519744765325898E-2</v>
      </c>
      <c r="I19" s="58">
        <v>93538330</v>
      </c>
      <c r="J19" s="79">
        <f t="shared" si="7"/>
        <v>5.0528484226447706E-2</v>
      </c>
      <c r="K19" s="80">
        <f t="shared" si="5"/>
        <v>4.4211528099446992E-2</v>
      </c>
    </row>
    <row r="20" spans="1:12">
      <c r="A20" s="75">
        <v>2019</v>
      </c>
      <c r="B20" s="85">
        <v>2273600000</v>
      </c>
      <c r="C20" s="78">
        <v>1982100000</v>
      </c>
      <c r="D20" s="58">
        <v>96330060</v>
      </c>
      <c r="E20" s="79">
        <v>4.8599999999999997E-2</v>
      </c>
      <c r="F20" s="58">
        <v>97571206</v>
      </c>
      <c r="G20" s="79">
        <f t="shared" si="6"/>
        <v>4.9226177286716112E-2</v>
      </c>
      <c r="H20" s="80">
        <f t="shared" si="4"/>
        <v>4.2914851337086557E-2</v>
      </c>
      <c r="I20" s="58">
        <v>102617481</v>
      </c>
      <c r="J20" s="79">
        <f t="shared" si="7"/>
        <v>5.1772100802179505E-2</v>
      </c>
      <c r="K20" s="80">
        <f t="shared" si="5"/>
        <v>4.5134360045742436E-2</v>
      </c>
    </row>
    <row r="21" spans="1:12">
      <c r="A21" s="75">
        <v>2020</v>
      </c>
      <c r="B21" s="85">
        <v>2323900000</v>
      </c>
      <c r="C21" s="78">
        <v>2115700000</v>
      </c>
      <c r="D21" s="58">
        <v>106419710</v>
      </c>
      <c r="E21" s="79">
        <v>5.0299999999999997E-2</v>
      </c>
      <c r="F21" s="58">
        <v>107820003</v>
      </c>
      <c r="G21" s="79">
        <f t="shared" si="6"/>
        <v>5.0961858013896112E-2</v>
      </c>
      <c r="H21" s="80">
        <f t="shared" si="4"/>
        <v>4.6396145703343515E-2</v>
      </c>
      <c r="I21" s="81">
        <v>116306568.39673001</v>
      </c>
      <c r="J21" s="79">
        <f t="shared" si="7"/>
        <v>5.4973090890357804E-2</v>
      </c>
      <c r="K21" s="80">
        <f t="shared" si="5"/>
        <v>5.0048009121188522E-2</v>
      </c>
    </row>
    <row r="22" spans="1:12">
      <c r="A22" s="75">
        <v>2021</v>
      </c>
      <c r="B22" s="77"/>
      <c r="C22" s="78">
        <v>2273600000</v>
      </c>
      <c r="D22" s="58">
        <v>120500800</v>
      </c>
      <c r="E22" s="79">
        <v>5.2999999999999999E-2</v>
      </c>
      <c r="F22" s="58">
        <v>120525630</v>
      </c>
      <c r="G22" s="79">
        <f>F22/C22</f>
        <v>5.3010921006333568E-2</v>
      </c>
      <c r="H22" s="79"/>
      <c r="I22" s="82">
        <v>129263234.59</v>
      </c>
      <c r="J22" s="83">
        <v>5.6853991286945814E-2</v>
      </c>
      <c r="K22" s="76" t="s">
        <v>44</v>
      </c>
      <c r="L22" s="74"/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G250"/>
  <sheetViews>
    <sheetView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1" sqref="E11"/>
    </sheetView>
  </sheetViews>
  <sheetFormatPr defaultColWidth="9.08984375" defaultRowHeight="14.5"/>
  <cols>
    <col min="1" max="1" width="5.6328125" style="26" customWidth="1"/>
    <col min="2" max="2" width="50.54296875" style="1" customWidth="1"/>
    <col min="3" max="3" width="19.90625" style="6" customWidth="1"/>
    <col min="4" max="4" width="19.90625" style="8" customWidth="1"/>
    <col min="5" max="5" width="19.90625" style="6" customWidth="1"/>
    <col min="6" max="6" width="19.90625" style="8" customWidth="1"/>
    <col min="7" max="7" width="19.90625" style="6" customWidth="1"/>
    <col min="8" max="8" width="19.90625" style="8" customWidth="1"/>
    <col min="9" max="9" width="19.90625" style="6" customWidth="1"/>
    <col min="10" max="10" width="19.90625" style="8" customWidth="1"/>
    <col min="11" max="11" width="19.90625" style="6" customWidth="1"/>
    <col min="12" max="12" width="19.90625" style="8" customWidth="1"/>
    <col min="13" max="13" width="19.90625" style="6" customWidth="1"/>
    <col min="14" max="14" width="19.90625" style="8" customWidth="1"/>
    <col min="15" max="15" width="19.90625" style="6" customWidth="1"/>
    <col min="16" max="16" width="19.90625" style="8" customWidth="1"/>
    <col min="17" max="17" width="19.90625" style="6" customWidth="1"/>
    <col min="18" max="18" width="19.90625" style="8" customWidth="1"/>
    <col min="19" max="19" width="19.90625" style="6" customWidth="1"/>
    <col min="20" max="20" width="19.90625" style="8" customWidth="1"/>
    <col min="21" max="21" width="19.90625" style="6" customWidth="1"/>
    <col min="22" max="22" width="19.90625" style="8" customWidth="1"/>
    <col min="23" max="23" width="19.90625" style="6" customWidth="1"/>
    <col min="24" max="24" width="19.90625" style="8" customWidth="1"/>
    <col min="25" max="25" width="19.90625" style="6" customWidth="1"/>
    <col min="26" max="26" width="19.90625" style="8" customWidth="1"/>
    <col min="27" max="27" width="19.90625" style="6" customWidth="1"/>
    <col min="28" max="31" width="19.90625" style="8" customWidth="1"/>
    <col min="32" max="33" width="19.90625" style="51" customWidth="1"/>
    <col min="34" max="34" width="19.90625" style="56" customWidth="1"/>
    <col min="35" max="16384" width="9.08984375" style="1"/>
  </cols>
  <sheetData>
    <row r="1" spans="1:34" s="54" customFormat="1">
      <c r="A1" s="189" t="s">
        <v>19</v>
      </c>
      <c r="B1" s="190" t="s">
        <v>0</v>
      </c>
      <c r="C1" s="187">
        <v>2005</v>
      </c>
      <c r="D1" s="188"/>
      <c r="E1" s="187">
        <v>2006</v>
      </c>
      <c r="F1" s="188"/>
      <c r="G1" s="187">
        <v>2007</v>
      </c>
      <c r="H1" s="188"/>
      <c r="I1" s="187">
        <v>2008</v>
      </c>
      <c r="J1" s="188"/>
      <c r="K1" s="187">
        <v>2009</v>
      </c>
      <c r="L1" s="188"/>
      <c r="M1" s="187">
        <v>2010</v>
      </c>
      <c r="N1" s="188"/>
      <c r="O1" s="187">
        <v>2011</v>
      </c>
      <c r="P1" s="188"/>
      <c r="Q1" s="187">
        <v>2012</v>
      </c>
      <c r="R1" s="188"/>
      <c r="S1" s="187">
        <v>2013</v>
      </c>
      <c r="T1" s="188"/>
      <c r="U1" s="187">
        <v>2014</v>
      </c>
      <c r="V1" s="188"/>
      <c r="W1" s="187">
        <v>2015</v>
      </c>
      <c r="X1" s="188"/>
      <c r="Y1" s="187">
        <v>2016</v>
      </c>
      <c r="Z1" s="188"/>
      <c r="AA1" s="187" t="s">
        <v>17</v>
      </c>
      <c r="AB1" s="188"/>
      <c r="AC1" s="188">
        <v>2018</v>
      </c>
      <c r="AD1" s="188"/>
      <c r="AE1" s="188">
        <v>2019</v>
      </c>
      <c r="AF1" s="188"/>
      <c r="AG1" s="188">
        <v>2020</v>
      </c>
      <c r="AH1" s="188"/>
    </row>
    <row r="2" spans="1:34" s="54" customFormat="1">
      <c r="A2" s="189"/>
      <c r="B2" s="190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18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34" s="20" customFormat="1" ht="26">
      <c r="A3" s="87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34" s="20" customFormat="1" ht="32.15" customHeight="1">
      <c r="A4" s="87" t="s">
        <v>22</v>
      </c>
      <c r="B4" s="88" t="s">
        <v>28</v>
      </c>
      <c r="C4" s="89"/>
      <c r="D4" s="89"/>
      <c r="E4" s="89"/>
      <c r="F4" s="89"/>
      <c r="G4" s="89"/>
      <c r="H4" s="89"/>
      <c r="I4" s="89"/>
      <c r="J4" s="89"/>
      <c r="K4" s="89"/>
      <c r="L4" s="89">
        <v>0</v>
      </c>
      <c r="M4" s="89">
        <v>620000</v>
      </c>
      <c r="N4" s="89">
        <v>0</v>
      </c>
      <c r="O4" s="89">
        <v>976000</v>
      </c>
      <c r="P4" s="89">
        <v>0</v>
      </c>
      <c r="Q4" s="89">
        <v>0</v>
      </c>
      <c r="R4" s="89">
        <v>0</v>
      </c>
      <c r="S4" s="89">
        <v>600000</v>
      </c>
      <c r="T4" s="89">
        <v>0</v>
      </c>
      <c r="U4" s="89">
        <v>405000</v>
      </c>
      <c r="V4" s="89">
        <v>0</v>
      </c>
      <c r="W4" s="89">
        <v>57000</v>
      </c>
      <c r="X4" s="89">
        <v>0</v>
      </c>
      <c r="Y4" s="89">
        <v>272705</v>
      </c>
      <c r="Z4" s="89">
        <v>0</v>
      </c>
      <c r="AA4" s="89">
        <v>824311</v>
      </c>
      <c r="AB4" s="89">
        <v>0</v>
      </c>
      <c r="AC4" s="89">
        <v>1185083</v>
      </c>
      <c r="AD4" s="89">
        <v>0</v>
      </c>
      <c r="AE4" s="89">
        <v>191324</v>
      </c>
      <c r="AF4" s="89"/>
      <c r="AG4" s="89"/>
      <c r="AH4" s="89"/>
    </row>
    <row r="5" spans="1:34" s="47" customFormat="1" ht="15.5">
      <c r="A5" s="87" t="s">
        <v>21</v>
      </c>
      <c r="B5" s="88" t="s">
        <v>9</v>
      </c>
      <c r="C5" s="89">
        <v>0</v>
      </c>
      <c r="D5" s="89">
        <v>0</v>
      </c>
      <c r="E5" s="89">
        <v>0</v>
      </c>
      <c r="F5" s="89">
        <v>0</v>
      </c>
      <c r="G5" s="89">
        <v>0</v>
      </c>
      <c r="H5" s="89">
        <v>0</v>
      </c>
      <c r="I5" s="89">
        <v>0</v>
      </c>
      <c r="J5" s="89">
        <v>0</v>
      </c>
      <c r="K5" s="89">
        <v>0</v>
      </c>
      <c r="L5" s="89">
        <v>0</v>
      </c>
      <c r="M5" s="89">
        <v>213997</v>
      </c>
      <c r="N5" s="89">
        <v>470650</v>
      </c>
      <c r="O5" s="89">
        <v>439303</v>
      </c>
      <c r="P5" s="89">
        <v>482376</v>
      </c>
      <c r="Q5" s="89">
        <v>339703</v>
      </c>
      <c r="R5" s="89">
        <v>355241</v>
      </c>
      <c r="S5" s="89">
        <v>328845</v>
      </c>
      <c r="T5" s="89">
        <v>516877</v>
      </c>
      <c r="U5" s="89">
        <v>325103</v>
      </c>
      <c r="V5" s="89">
        <v>372061</v>
      </c>
      <c r="W5" s="89">
        <v>377349</v>
      </c>
      <c r="X5" s="89">
        <v>439637</v>
      </c>
      <c r="Y5" s="89">
        <v>300933</v>
      </c>
      <c r="Z5" s="89">
        <v>206990</v>
      </c>
      <c r="AA5" s="89">
        <v>495619</v>
      </c>
      <c r="AB5" s="89">
        <v>417094</v>
      </c>
      <c r="AC5" s="89">
        <v>533485</v>
      </c>
      <c r="AD5" s="89">
        <v>1014277</v>
      </c>
      <c r="AE5" s="89">
        <v>915092</v>
      </c>
      <c r="AF5" s="89">
        <v>820449</v>
      </c>
      <c r="AG5" s="89">
        <v>669991</v>
      </c>
      <c r="AH5" s="89">
        <v>1386207.50673</v>
      </c>
    </row>
    <row r="6" spans="1:34" s="47" customFormat="1" ht="26">
      <c r="A6" s="87" t="s">
        <v>23</v>
      </c>
      <c r="B6" s="88" t="s">
        <v>3</v>
      </c>
      <c r="C6" s="89">
        <v>851602</v>
      </c>
      <c r="D6" s="89">
        <v>1211303</v>
      </c>
      <c r="E6" s="89">
        <v>904700</v>
      </c>
      <c r="F6" s="89">
        <v>1261590</v>
      </c>
      <c r="G6" s="89">
        <v>1150712</v>
      </c>
      <c r="H6" s="89">
        <v>2466026</v>
      </c>
      <c r="I6" s="89">
        <v>1242340</v>
      </c>
      <c r="J6" s="89">
        <v>3275636</v>
      </c>
      <c r="K6" s="89">
        <v>1416145</v>
      </c>
      <c r="L6" s="89">
        <v>3466951</v>
      </c>
      <c r="M6" s="89">
        <v>4197314</v>
      </c>
      <c r="N6" s="89">
        <v>4224693</v>
      </c>
      <c r="O6" s="89">
        <v>4298816</v>
      </c>
      <c r="P6" s="89">
        <v>4420066</v>
      </c>
      <c r="Q6" s="89">
        <v>4413108</v>
      </c>
      <c r="R6" s="89">
        <v>4596054</v>
      </c>
      <c r="S6" s="89">
        <v>4579982</v>
      </c>
      <c r="T6" s="89">
        <v>4797660</v>
      </c>
      <c r="U6" s="89">
        <v>4836284</v>
      </c>
      <c r="V6" s="89">
        <v>4796877</v>
      </c>
      <c r="W6" s="89">
        <v>4485223</v>
      </c>
      <c r="X6" s="89">
        <v>4505752</v>
      </c>
      <c r="Y6" s="89">
        <v>4540982</v>
      </c>
      <c r="Z6" s="89">
        <v>4510343</v>
      </c>
      <c r="AA6" s="89">
        <v>4373691</v>
      </c>
      <c r="AB6" s="89">
        <v>4402300</v>
      </c>
      <c r="AC6" s="89">
        <v>4135384</v>
      </c>
      <c r="AD6" s="89">
        <v>4361641</v>
      </c>
      <c r="AE6" s="89">
        <v>4668358</v>
      </c>
      <c r="AF6" s="89">
        <v>4511045</v>
      </c>
      <c r="AG6" s="89">
        <v>5279917</v>
      </c>
      <c r="AH6" s="89">
        <v>5521195.7000000002</v>
      </c>
    </row>
    <row r="7" spans="1:34" s="47" customFormat="1" ht="45" customHeight="1">
      <c r="A7" s="87" t="s">
        <v>24</v>
      </c>
      <c r="B7" s="88" t="s">
        <v>46</v>
      </c>
      <c r="C7" s="89">
        <v>32640563</v>
      </c>
      <c r="D7" s="89">
        <v>32850882</v>
      </c>
      <c r="E7" s="89">
        <v>34946638</v>
      </c>
      <c r="F7" s="89">
        <v>36670746</v>
      </c>
      <c r="G7" s="89">
        <v>39897085</v>
      </c>
      <c r="H7" s="89">
        <v>40352128</v>
      </c>
      <c r="I7" s="89">
        <v>46062681</v>
      </c>
      <c r="J7" s="89">
        <v>49289545</v>
      </c>
      <c r="K7" s="89">
        <v>54169115</v>
      </c>
      <c r="L7" s="89">
        <v>54574799</v>
      </c>
      <c r="M7" s="89">
        <v>54300698</v>
      </c>
      <c r="N7" s="89">
        <v>56036700</v>
      </c>
      <c r="O7" s="89">
        <v>56772862</v>
      </c>
      <c r="P7" s="89">
        <v>57545771</v>
      </c>
      <c r="Q7" s="89">
        <v>61068349</v>
      </c>
      <c r="R7" s="89">
        <v>59151362</v>
      </c>
      <c r="S7" s="89">
        <v>63157117</v>
      </c>
      <c r="T7" s="89">
        <v>61208506</v>
      </c>
      <c r="U7" s="89">
        <v>63340802</v>
      </c>
      <c r="V7" s="89">
        <v>62570410</v>
      </c>
      <c r="W7" s="89">
        <v>64948039</v>
      </c>
      <c r="X7" s="89">
        <v>66697481</v>
      </c>
      <c r="Y7" s="89">
        <v>69533396</v>
      </c>
      <c r="Z7" s="89">
        <v>69760162</v>
      </c>
      <c r="AA7" s="89">
        <v>73707917</v>
      </c>
      <c r="AB7" s="89">
        <v>74474317</v>
      </c>
      <c r="AC7" s="89">
        <v>78893960</v>
      </c>
      <c r="AD7" s="89">
        <v>78512757</v>
      </c>
      <c r="AE7" s="89">
        <v>84225312</v>
      </c>
      <c r="AF7" s="89">
        <v>86915607</v>
      </c>
      <c r="AG7" s="89">
        <v>93799417</v>
      </c>
      <c r="AH7" s="89">
        <v>100839539.39</v>
      </c>
    </row>
    <row r="8" spans="1:34" s="47" customFormat="1" ht="39">
      <c r="A8" s="87" t="s">
        <v>25</v>
      </c>
      <c r="B8" s="88" t="s">
        <v>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567583</v>
      </c>
      <c r="L8" s="89">
        <v>567583</v>
      </c>
      <c r="M8" s="89">
        <v>717583</v>
      </c>
      <c r="N8" s="89">
        <v>670357</v>
      </c>
      <c r="O8" s="89">
        <v>717583</v>
      </c>
      <c r="P8" s="89">
        <v>717583</v>
      </c>
      <c r="Q8" s="89">
        <v>717583</v>
      </c>
      <c r="R8" s="89">
        <v>754617</v>
      </c>
      <c r="S8" s="89">
        <v>835329</v>
      </c>
      <c r="T8" s="89">
        <v>835329</v>
      </c>
      <c r="U8" s="89">
        <v>835329</v>
      </c>
      <c r="V8" s="89">
        <v>835329</v>
      </c>
      <c r="W8" s="89">
        <v>835329</v>
      </c>
      <c r="X8" s="89">
        <v>835329</v>
      </c>
      <c r="Y8" s="89">
        <v>835329</v>
      </c>
      <c r="Z8" s="89">
        <v>835329</v>
      </c>
      <c r="AA8" s="89">
        <v>1032721</v>
      </c>
      <c r="AB8" s="89">
        <v>1032721</v>
      </c>
      <c r="AC8" s="89">
        <v>1179019</v>
      </c>
      <c r="AD8" s="89">
        <v>1429019</v>
      </c>
      <c r="AE8" s="89">
        <v>2243053</v>
      </c>
      <c r="AF8" s="89">
        <v>1942864</v>
      </c>
      <c r="AG8" s="89">
        <v>2243053</v>
      </c>
      <c r="AH8" s="89">
        <v>2044646</v>
      </c>
    </row>
    <row r="9" spans="1:34" s="47" customFormat="1" ht="39">
      <c r="A9" s="87" t="s">
        <v>26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</row>
    <row r="10" spans="1:34" s="47" customFormat="1" ht="26">
      <c r="A10" s="87" t="s">
        <v>27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</row>
    <row r="11" spans="1:34" s="47" customFormat="1" ht="52">
      <c r="A11" s="87" t="s">
        <v>36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</row>
    <row r="12" spans="1:34" s="47" customFormat="1" ht="26">
      <c r="A12" s="87" t="s">
        <v>37</v>
      </c>
      <c r="B12" s="88" t="s">
        <v>45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  <c r="T12" s="89">
        <v>0</v>
      </c>
      <c r="U12" s="89">
        <v>0</v>
      </c>
      <c r="V12" s="89">
        <v>0</v>
      </c>
      <c r="W12" s="89">
        <v>0</v>
      </c>
      <c r="X12" s="89">
        <v>0</v>
      </c>
      <c r="Y12" s="89">
        <v>0</v>
      </c>
      <c r="Z12" s="89">
        <v>0</v>
      </c>
      <c r="AA12" s="89">
        <v>0</v>
      </c>
      <c r="AB12" s="89">
        <v>0</v>
      </c>
      <c r="AC12" s="89">
        <v>0</v>
      </c>
      <c r="AD12" s="89">
        <v>0</v>
      </c>
      <c r="AE12" s="89">
        <v>0</v>
      </c>
      <c r="AF12" s="89">
        <v>0</v>
      </c>
      <c r="AG12" s="89">
        <v>279473</v>
      </c>
      <c r="AH12" s="89">
        <v>279473</v>
      </c>
    </row>
    <row r="13" spans="1:34" s="47" customFormat="1" ht="15.5">
      <c r="A13" s="87"/>
      <c r="B13" s="90" t="s">
        <v>31</v>
      </c>
      <c r="C13" s="89">
        <f>SUM(C3:C12)</f>
        <v>36936000</v>
      </c>
      <c r="D13" s="89">
        <f t="shared" ref="D13:AH13" si="0">SUM(D3:D12)</f>
        <v>37645502</v>
      </c>
      <c r="E13" s="89">
        <f t="shared" si="0"/>
        <v>39575856</v>
      </c>
      <c r="F13" s="89">
        <f t="shared" si="0"/>
        <v>41579189</v>
      </c>
      <c r="G13" s="89">
        <f t="shared" si="0"/>
        <v>45055802</v>
      </c>
      <c r="H13" s="89">
        <f t="shared" si="0"/>
        <v>46860739</v>
      </c>
      <c r="I13" s="89">
        <f t="shared" si="0"/>
        <v>51982706</v>
      </c>
      <c r="J13" s="89">
        <f t="shared" si="0"/>
        <v>57087971</v>
      </c>
      <c r="K13" s="89">
        <f t="shared" si="0"/>
        <v>60545048</v>
      </c>
      <c r="L13" s="89">
        <f t="shared" si="0"/>
        <v>63317619</v>
      </c>
      <c r="M13" s="89">
        <f t="shared" si="0"/>
        <v>63532294</v>
      </c>
      <c r="N13" s="89">
        <f t="shared" si="0"/>
        <v>65487971</v>
      </c>
      <c r="O13" s="89">
        <f t="shared" si="0"/>
        <v>66913420</v>
      </c>
      <c r="P13" s="89">
        <f t="shared" si="0"/>
        <v>67690079</v>
      </c>
      <c r="Q13" s="89">
        <f t="shared" si="0"/>
        <v>70506237</v>
      </c>
      <c r="R13" s="89">
        <f t="shared" si="0"/>
        <v>68973371</v>
      </c>
      <c r="S13" s="89">
        <f t="shared" si="0"/>
        <v>73219337</v>
      </c>
      <c r="T13" s="89">
        <f t="shared" si="0"/>
        <v>71685956</v>
      </c>
      <c r="U13" s="89">
        <f t="shared" si="0"/>
        <v>73794604</v>
      </c>
      <c r="V13" s="89">
        <f t="shared" si="0"/>
        <v>72851289</v>
      </c>
      <c r="W13" s="89">
        <f t="shared" si="0"/>
        <v>74798209</v>
      </c>
      <c r="X13" s="89">
        <f t="shared" si="0"/>
        <v>77176920</v>
      </c>
      <c r="Y13" s="89">
        <f t="shared" si="0"/>
        <v>80079269</v>
      </c>
      <c r="Z13" s="89">
        <f t="shared" si="0"/>
        <v>80941181</v>
      </c>
      <c r="AA13" s="89">
        <f t="shared" si="0"/>
        <v>85453034</v>
      </c>
      <c r="AB13" s="89">
        <f t="shared" si="0"/>
        <v>87584176</v>
      </c>
      <c r="AC13" s="89">
        <f t="shared" si="0"/>
        <v>91144107</v>
      </c>
      <c r="AD13" s="89">
        <f t="shared" si="0"/>
        <v>93538330</v>
      </c>
      <c r="AE13" s="89">
        <f t="shared" si="0"/>
        <v>97762530</v>
      </c>
      <c r="AF13" s="89">
        <f t="shared" si="0"/>
        <v>102617481</v>
      </c>
      <c r="AG13" s="89">
        <f t="shared" si="0"/>
        <v>107813018</v>
      </c>
      <c r="AH13" s="89">
        <f t="shared" si="0"/>
        <v>116306568.39673001</v>
      </c>
    </row>
    <row r="14" spans="1:34" s="20" customFormat="1" ht="15.5">
      <c r="A14" s="87"/>
      <c r="B14" s="90" t="s">
        <v>32</v>
      </c>
      <c r="C14" s="89">
        <v>845930000</v>
      </c>
      <c r="D14" s="89">
        <v>845930000</v>
      </c>
      <c r="E14" s="89">
        <v>933062000</v>
      </c>
      <c r="F14" s="89">
        <v>933062000</v>
      </c>
      <c r="G14" s="89">
        <v>990468000</v>
      </c>
      <c r="H14" s="89">
        <v>990468000</v>
      </c>
      <c r="I14" s="89">
        <v>1069824000</v>
      </c>
      <c r="J14" s="89">
        <v>1069824000</v>
      </c>
      <c r="K14" s="89">
        <v>1167800000</v>
      </c>
      <c r="L14" s="89">
        <v>1167800000</v>
      </c>
      <c r="M14" s="89">
        <v>1271700000</v>
      </c>
      <c r="N14" s="89">
        <v>1271700000</v>
      </c>
      <c r="O14" s="89">
        <v>1344000000</v>
      </c>
      <c r="P14" s="89">
        <v>1344000000</v>
      </c>
      <c r="Q14" s="89">
        <v>1415400000</v>
      </c>
      <c r="R14" s="89">
        <v>1415400000</v>
      </c>
      <c r="S14" s="89">
        <v>1524700000</v>
      </c>
      <c r="T14" s="89">
        <v>1524700000</v>
      </c>
      <c r="U14" s="89">
        <v>1595300000</v>
      </c>
      <c r="V14" s="89">
        <v>1595300000</v>
      </c>
      <c r="W14" s="89">
        <v>1635700000</v>
      </c>
      <c r="X14" s="89">
        <v>1635700000</v>
      </c>
      <c r="Y14" s="89">
        <v>1728700000</v>
      </c>
      <c r="Z14" s="89">
        <v>1728700000</v>
      </c>
      <c r="AA14" s="89">
        <v>1789700000</v>
      </c>
      <c r="AB14" s="89">
        <v>1789700000</v>
      </c>
      <c r="AC14" s="89">
        <v>1851200000</v>
      </c>
      <c r="AD14" s="89">
        <v>1851200000</v>
      </c>
      <c r="AE14" s="89">
        <v>1982100000</v>
      </c>
      <c r="AF14" s="89">
        <v>1982100000</v>
      </c>
      <c r="AG14" s="89">
        <v>2115700000</v>
      </c>
      <c r="AH14" s="89">
        <v>2115700000</v>
      </c>
    </row>
    <row r="15" spans="1:34" s="20" customFormat="1" ht="15.5">
      <c r="A15" s="87"/>
      <c r="B15" s="90" t="s">
        <v>33</v>
      </c>
      <c r="C15" s="91">
        <f>C13/C14</f>
        <v>4.3663187261357324E-2</v>
      </c>
      <c r="D15" s="91">
        <f t="shared" ref="D15:AH15" si="1">D13/D14</f>
        <v>4.4501911505680142E-2</v>
      </c>
      <c r="E15" s="91">
        <f t="shared" si="1"/>
        <v>4.2415033513314229E-2</v>
      </c>
      <c r="F15" s="91">
        <f t="shared" si="1"/>
        <v>4.4562085906402787E-2</v>
      </c>
      <c r="G15" s="91">
        <f t="shared" si="1"/>
        <v>4.5489407027788885E-2</v>
      </c>
      <c r="H15" s="91">
        <f t="shared" si="1"/>
        <v>4.7311714260329457E-2</v>
      </c>
      <c r="I15" s="91">
        <f t="shared" si="1"/>
        <v>4.8589960591648718E-2</v>
      </c>
      <c r="J15" s="91">
        <f t="shared" si="1"/>
        <v>5.3362021229660203E-2</v>
      </c>
      <c r="K15" s="91">
        <f t="shared" si="1"/>
        <v>5.184539133413256E-2</v>
      </c>
      <c r="L15" s="91">
        <f t="shared" si="1"/>
        <v>5.4219574413426959E-2</v>
      </c>
      <c r="M15" s="91">
        <f t="shared" si="1"/>
        <v>4.9958554690571678E-2</v>
      </c>
      <c r="N15" s="91">
        <f t="shared" si="1"/>
        <v>5.1496399308012898E-2</v>
      </c>
      <c r="O15" s="91">
        <f t="shared" si="1"/>
        <v>4.9786770833333334E-2</v>
      </c>
      <c r="P15" s="91">
        <f t="shared" si="1"/>
        <v>5.0364642113095236E-2</v>
      </c>
      <c r="Q15" s="91">
        <f t="shared" si="1"/>
        <v>4.981364773208987E-2</v>
      </c>
      <c r="R15" s="91">
        <f t="shared" si="1"/>
        <v>4.8730656351561395E-2</v>
      </c>
      <c r="S15" s="91">
        <f t="shared" si="1"/>
        <v>4.8022126975798517E-2</v>
      </c>
      <c r="T15" s="91">
        <f t="shared" si="1"/>
        <v>4.7016433396733781E-2</v>
      </c>
      <c r="U15" s="91">
        <f t="shared" si="1"/>
        <v>4.6257508932489186E-2</v>
      </c>
      <c r="V15" s="91">
        <f t="shared" si="1"/>
        <v>4.5666200087757791E-2</v>
      </c>
      <c r="W15" s="91">
        <f t="shared" si="1"/>
        <v>4.5728562083511649E-2</v>
      </c>
      <c r="X15" s="91">
        <f t="shared" si="1"/>
        <v>4.7182808583481076E-2</v>
      </c>
      <c r="Y15" s="91">
        <f t="shared" si="1"/>
        <v>4.6323404292242729E-2</v>
      </c>
      <c r="Z15" s="91">
        <f t="shared" si="1"/>
        <v>4.682199398391855E-2</v>
      </c>
      <c r="AA15" s="91">
        <f t="shared" si="1"/>
        <v>4.774712745152819E-2</v>
      </c>
      <c r="AB15" s="91">
        <f t="shared" si="1"/>
        <v>4.8937909146784378E-2</v>
      </c>
      <c r="AC15" s="91">
        <f t="shared" si="1"/>
        <v>4.9235148552290407E-2</v>
      </c>
      <c r="AD15" s="91">
        <f t="shared" si="1"/>
        <v>5.0528484226447706E-2</v>
      </c>
      <c r="AE15" s="91">
        <f t="shared" si="1"/>
        <v>4.9322703193582562E-2</v>
      </c>
      <c r="AF15" s="91">
        <f t="shared" si="1"/>
        <v>5.1772100802179505E-2</v>
      </c>
      <c r="AG15" s="91">
        <f t="shared" si="1"/>
        <v>5.0958556506120904E-2</v>
      </c>
      <c r="AH15" s="91">
        <f t="shared" si="1"/>
        <v>5.4973090890357804E-2</v>
      </c>
    </row>
    <row r="16" spans="1:34" s="48" customFormat="1" ht="21">
      <c r="A16" s="92"/>
      <c r="B16" s="93" t="s">
        <v>29</v>
      </c>
      <c r="C16" s="94">
        <f t="shared" ref="C16:AH16" si="2">SUM(C3:C12)-C4</f>
        <v>36936000</v>
      </c>
      <c r="D16" s="94">
        <f t="shared" si="2"/>
        <v>37645502</v>
      </c>
      <c r="E16" s="94">
        <f t="shared" si="2"/>
        <v>39575856</v>
      </c>
      <c r="F16" s="94">
        <f t="shared" si="2"/>
        <v>41579189</v>
      </c>
      <c r="G16" s="94">
        <f t="shared" si="2"/>
        <v>45055802</v>
      </c>
      <c r="H16" s="94">
        <f t="shared" si="2"/>
        <v>46860739</v>
      </c>
      <c r="I16" s="94">
        <f t="shared" si="2"/>
        <v>51982706</v>
      </c>
      <c r="J16" s="94">
        <f t="shared" si="2"/>
        <v>57087971</v>
      </c>
      <c r="K16" s="94">
        <f t="shared" si="2"/>
        <v>60545048</v>
      </c>
      <c r="L16" s="94">
        <f t="shared" si="2"/>
        <v>63317619</v>
      </c>
      <c r="M16" s="94">
        <f t="shared" si="2"/>
        <v>62912294</v>
      </c>
      <c r="N16" s="94">
        <f t="shared" si="2"/>
        <v>65487971</v>
      </c>
      <c r="O16" s="94">
        <f t="shared" si="2"/>
        <v>65937420</v>
      </c>
      <c r="P16" s="94">
        <f t="shared" si="2"/>
        <v>67690079</v>
      </c>
      <c r="Q16" s="94">
        <f t="shared" si="2"/>
        <v>70506237</v>
      </c>
      <c r="R16" s="94">
        <f t="shared" si="2"/>
        <v>68973371</v>
      </c>
      <c r="S16" s="94">
        <f t="shared" si="2"/>
        <v>72619337</v>
      </c>
      <c r="T16" s="94">
        <f t="shared" si="2"/>
        <v>71685956</v>
      </c>
      <c r="U16" s="94">
        <f t="shared" si="2"/>
        <v>73389604</v>
      </c>
      <c r="V16" s="94">
        <f t="shared" si="2"/>
        <v>72851289</v>
      </c>
      <c r="W16" s="94">
        <f t="shared" si="2"/>
        <v>74741209</v>
      </c>
      <c r="X16" s="94">
        <f t="shared" si="2"/>
        <v>77176920</v>
      </c>
      <c r="Y16" s="94">
        <f t="shared" si="2"/>
        <v>79806564</v>
      </c>
      <c r="Z16" s="94">
        <f t="shared" si="2"/>
        <v>80941181</v>
      </c>
      <c r="AA16" s="94">
        <f t="shared" si="2"/>
        <v>84628723</v>
      </c>
      <c r="AB16" s="94">
        <f t="shared" si="2"/>
        <v>87584176</v>
      </c>
      <c r="AC16" s="94">
        <f t="shared" si="2"/>
        <v>89959024</v>
      </c>
      <c r="AD16" s="94">
        <f t="shared" si="2"/>
        <v>93538330</v>
      </c>
      <c r="AE16" s="94">
        <f t="shared" si="2"/>
        <v>97571206</v>
      </c>
      <c r="AF16" s="94">
        <f t="shared" si="2"/>
        <v>102617481</v>
      </c>
      <c r="AG16" s="94">
        <f t="shared" si="2"/>
        <v>107813018</v>
      </c>
      <c r="AH16" s="94">
        <f t="shared" si="2"/>
        <v>116306568.39673001</v>
      </c>
    </row>
    <row r="17" spans="1:59" s="48" customFormat="1" ht="21">
      <c r="A17" s="87"/>
      <c r="B17" s="90" t="s">
        <v>34</v>
      </c>
      <c r="C17" s="91">
        <f>C16/C14</f>
        <v>4.3663187261357324E-2</v>
      </c>
      <c r="D17" s="91">
        <f t="shared" ref="D17:AH17" si="3">D16/D14</f>
        <v>4.4501911505680142E-2</v>
      </c>
      <c r="E17" s="91">
        <f t="shared" si="3"/>
        <v>4.2415033513314229E-2</v>
      </c>
      <c r="F17" s="91">
        <f t="shared" si="3"/>
        <v>4.4562085906402787E-2</v>
      </c>
      <c r="G17" s="91">
        <f t="shared" si="3"/>
        <v>4.5489407027788885E-2</v>
      </c>
      <c r="H17" s="91">
        <f t="shared" si="3"/>
        <v>4.7311714260329457E-2</v>
      </c>
      <c r="I17" s="91">
        <f t="shared" si="3"/>
        <v>4.8589960591648718E-2</v>
      </c>
      <c r="J17" s="91">
        <f t="shared" si="3"/>
        <v>5.3362021229660203E-2</v>
      </c>
      <c r="K17" s="91">
        <f t="shared" si="3"/>
        <v>5.184539133413256E-2</v>
      </c>
      <c r="L17" s="91">
        <f t="shared" si="3"/>
        <v>5.4219574413426959E-2</v>
      </c>
      <c r="M17" s="91">
        <f t="shared" si="3"/>
        <v>4.9471018321931272E-2</v>
      </c>
      <c r="N17" s="91">
        <f t="shared" si="3"/>
        <v>5.1496399308012898E-2</v>
      </c>
      <c r="O17" s="91">
        <f t="shared" si="3"/>
        <v>4.9060580357142856E-2</v>
      </c>
      <c r="P17" s="91">
        <f t="shared" si="3"/>
        <v>5.0364642113095236E-2</v>
      </c>
      <c r="Q17" s="91">
        <f t="shared" si="3"/>
        <v>4.981364773208987E-2</v>
      </c>
      <c r="R17" s="91">
        <f t="shared" si="3"/>
        <v>4.8730656351561395E-2</v>
      </c>
      <c r="S17" s="91">
        <f t="shared" si="3"/>
        <v>4.7628606939069978E-2</v>
      </c>
      <c r="T17" s="91">
        <f t="shared" si="3"/>
        <v>4.7016433396733781E-2</v>
      </c>
      <c r="U17" s="91">
        <f t="shared" si="3"/>
        <v>4.6003638187174824E-2</v>
      </c>
      <c r="V17" s="91">
        <f t="shared" si="3"/>
        <v>4.5666200087757791E-2</v>
      </c>
      <c r="W17" s="91">
        <f t="shared" si="3"/>
        <v>4.5693714617594916E-2</v>
      </c>
      <c r="X17" s="91">
        <f t="shared" si="3"/>
        <v>4.7182808583481076E-2</v>
      </c>
      <c r="Y17" s="91">
        <f t="shared" si="3"/>
        <v>4.6165652802684101E-2</v>
      </c>
      <c r="Z17" s="91">
        <f t="shared" si="3"/>
        <v>4.682199398391855E-2</v>
      </c>
      <c r="AA17" s="91">
        <f t="shared" si="3"/>
        <v>4.7286541319774264E-2</v>
      </c>
      <c r="AB17" s="91">
        <f t="shared" si="3"/>
        <v>4.8937909146784378E-2</v>
      </c>
      <c r="AC17" s="91">
        <f t="shared" si="3"/>
        <v>4.8594978392394121E-2</v>
      </c>
      <c r="AD17" s="91">
        <f t="shared" si="3"/>
        <v>5.0528484226447706E-2</v>
      </c>
      <c r="AE17" s="91">
        <f t="shared" si="3"/>
        <v>4.9226177286716112E-2</v>
      </c>
      <c r="AF17" s="91">
        <f t="shared" si="3"/>
        <v>5.1772100802179505E-2</v>
      </c>
      <c r="AG17" s="91">
        <f t="shared" si="3"/>
        <v>5.0958556506120904E-2</v>
      </c>
      <c r="AH17" s="91">
        <f t="shared" si="3"/>
        <v>5.4973090890357804E-2</v>
      </c>
    </row>
    <row r="18" spans="1:59">
      <c r="A18" s="87"/>
      <c r="B18" s="90" t="s">
        <v>30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91">
        <v>4.7800000000000002E-2</v>
      </c>
      <c r="AD18" s="91">
        <v>4.7800000000000002E-2</v>
      </c>
      <c r="AE18" s="91">
        <v>4.8599999999999997E-2</v>
      </c>
      <c r="AF18" s="91">
        <v>4.8599999999999997E-2</v>
      </c>
      <c r="AG18" s="91">
        <v>5.0299999999999997E-2</v>
      </c>
      <c r="AH18" s="91">
        <v>5.0299999999999997E-2</v>
      </c>
    </row>
    <row r="19" spans="1:59" s="50" customFormat="1">
      <c r="A19" s="49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6"/>
    </row>
    <row r="20" spans="1:59" s="50" customFormat="1" ht="15" thickBo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70" customFormat="1" ht="16" thickBot="1">
      <c r="A21" s="52"/>
      <c r="B21" s="46" t="s">
        <v>53</v>
      </c>
      <c r="C21" s="71">
        <v>845930000</v>
      </c>
      <c r="D21" s="71">
        <v>845930000</v>
      </c>
      <c r="E21" s="71">
        <v>933062000</v>
      </c>
      <c r="F21" s="71">
        <v>933062000</v>
      </c>
      <c r="G21" s="71">
        <v>990468000</v>
      </c>
      <c r="H21" s="71">
        <v>990468000</v>
      </c>
      <c r="I21" s="71">
        <v>1069824000</v>
      </c>
      <c r="J21" s="71">
        <v>1069824000</v>
      </c>
      <c r="K21" s="71">
        <v>1167800000</v>
      </c>
      <c r="L21" s="71">
        <v>1167800000</v>
      </c>
      <c r="M21" s="71">
        <v>1271700000</v>
      </c>
      <c r="N21" s="71">
        <v>1271700000</v>
      </c>
      <c r="O21" s="71">
        <v>1344000000</v>
      </c>
      <c r="P21" s="71">
        <v>1344000000</v>
      </c>
      <c r="Q21" s="71">
        <v>1415400000</v>
      </c>
      <c r="R21" s="71">
        <v>1415400000</v>
      </c>
      <c r="S21" s="71">
        <v>1524700000</v>
      </c>
      <c r="T21" s="71">
        <v>1524700000</v>
      </c>
      <c r="U21" s="71">
        <v>1595300000</v>
      </c>
      <c r="V21" s="71">
        <v>1595300000</v>
      </c>
      <c r="W21" s="71">
        <v>1635700000</v>
      </c>
      <c r="X21" s="71">
        <v>1635700000</v>
      </c>
      <c r="Y21" s="71">
        <v>1728700000</v>
      </c>
      <c r="Z21" s="71">
        <v>1728700000</v>
      </c>
      <c r="AA21" s="71">
        <v>1789700000</v>
      </c>
      <c r="AB21" s="71">
        <v>1789700000</v>
      </c>
      <c r="AC21" s="71">
        <v>1851200000</v>
      </c>
      <c r="AD21" s="71">
        <v>1851200000</v>
      </c>
      <c r="AE21" s="71">
        <v>1982100000</v>
      </c>
      <c r="AF21" s="71">
        <v>1982100000</v>
      </c>
      <c r="AG21" s="71">
        <v>2115700000</v>
      </c>
      <c r="AH21" s="71">
        <v>2115700000</v>
      </c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</row>
    <row r="22" spans="1:59" s="70" customFormat="1" ht="16" thickBot="1">
      <c r="A22" s="52"/>
      <c r="B22" s="46" t="s">
        <v>54</v>
      </c>
      <c r="C22" s="71">
        <v>990468000</v>
      </c>
      <c r="D22" s="71">
        <v>990468000</v>
      </c>
      <c r="E22" s="71">
        <v>1069824000</v>
      </c>
      <c r="F22" s="71">
        <v>1069824000</v>
      </c>
      <c r="G22" s="71">
        <v>1167800000</v>
      </c>
      <c r="H22" s="71">
        <v>1167800000</v>
      </c>
      <c r="I22" s="71">
        <v>1271700000</v>
      </c>
      <c r="J22" s="71">
        <v>1271700000</v>
      </c>
      <c r="K22" s="71">
        <v>1344000000</v>
      </c>
      <c r="L22" s="71">
        <v>1344000000</v>
      </c>
      <c r="M22" s="71">
        <v>1415400000</v>
      </c>
      <c r="N22" s="71">
        <v>1415400000</v>
      </c>
      <c r="O22" s="71">
        <v>1524700000</v>
      </c>
      <c r="P22" s="71">
        <v>1524700000</v>
      </c>
      <c r="Q22" s="71">
        <v>1595300000</v>
      </c>
      <c r="R22" s="71">
        <v>1595300000</v>
      </c>
      <c r="S22" s="71">
        <v>1635700000</v>
      </c>
      <c r="T22" s="71">
        <v>1635700000</v>
      </c>
      <c r="U22" s="71">
        <v>1728700000</v>
      </c>
      <c r="V22" s="71">
        <v>1728700000</v>
      </c>
      <c r="W22" s="71">
        <v>1789700000</v>
      </c>
      <c r="X22" s="71">
        <v>1789700000</v>
      </c>
      <c r="Y22" s="71">
        <v>1851200000</v>
      </c>
      <c r="Z22" s="71">
        <v>1851200000</v>
      </c>
      <c r="AA22" s="71">
        <v>1982100000</v>
      </c>
      <c r="AB22" s="71">
        <v>1982100000</v>
      </c>
      <c r="AC22" s="71">
        <v>2115700000</v>
      </c>
      <c r="AD22" s="71">
        <v>2115700000</v>
      </c>
      <c r="AE22" s="71">
        <v>2273600000</v>
      </c>
      <c r="AF22" s="71">
        <v>2273600000</v>
      </c>
      <c r="AG22" s="71">
        <v>2323900000</v>
      </c>
      <c r="AH22" s="71">
        <v>2323900000</v>
      </c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</row>
    <row r="23" spans="1:59" s="70" customFormat="1" ht="16" thickBot="1">
      <c r="A23" s="52"/>
      <c r="B23" s="46" t="s">
        <v>55</v>
      </c>
      <c r="C23" s="72">
        <f>C16/C21</f>
        <v>4.3663187261357324E-2</v>
      </c>
      <c r="D23" s="72">
        <f t="shared" ref="D23:AH23" si="4">D16/D21</f>
        <v>4.4501911505680142E-2</v>
      </c>
      <c r="E23" s="72">
        <f t="shared" si="4"/>
        <v>4.2415033513314229E-2</v>
      </c>
      <c r="F23" s="72">
        <f t="shared" si="4"/>
        <v>4.4562085906402787E-2</v>
      </c>
      <c r="G23" s="72">
        <f t="shared" si="4"/>
        <v>4.5489407027788885E-2</v>
      </c>
      <c r="H23" s="72">
        <f t="shared" si="4"/>
        <v>4.7311714260329457E-2</v>
      </c>
      <c r="I23" s="72">
        <f t="shared" si="4"/>
        <v>4.8589960591648718E-2</v>
      </c>
      <c r="J23" s="72">
        <f t="shared" si="4"/>
        <v>5.3362021229660203E-2</v>
      </c>
      <c r="K23" s="72">
        <f t="shared" si="4"/>
        <v>5.184539133413256E-2</v>
      </c>
      <c r="L23" s="72">
        <f t="shared" si="4"/>
        <v>5.4219574413426959E-2</v>
      </c>
      <c r="M23" s="72">
        <f t="shared" si="4"/>
        <v>4.9471018321931272E-2</v>
      </c>
      <c r="N23" s="72">
        <f t="shared" si="4"/>
        <v>5.1496399308012898E-2</v>
      </c>
      <c r="O23" s="72">
        <f t="shared" si="4"/>
        <v>4.9060580357142856E-2</v>
      </c>
      <c r="P23" s="72">
        <f t="shared" si="4"/>
        <v>5.0364642113095236E-2</v>
      </c>
      <c r="Q23" s="72">
        <f t="shared" si="4"/>
        <v>4.981364773208987E-2</v>
      </c>
      <c r="R23" s="72">
        <f t="shared" si="4"/>
        <v>4.8730656351561395E-2</v>
      </c>
      <c r="S23" s="72">
        <f t="shared" si="4"/>
        <v>4.7628606939069978E-2</v>
      </c>
      <c r="T23" s="72">
        <f t="shared" si="4"/>
        <v>4.7016433396733781E-2</v>
      </c>
      <c r="U23" s="72">
        <f t="shared" si="4"/>
        <v>4.6003638187174824E-2</v>
      </c>
      <c r="V23" s="72">
        <f t="shared" si="4"/>
        <v>4.5666200087757791E-2</v>
      </c>
      <c r="W23" s="72">
        <f t="shared" si="4"/>
        <v>4.5693714617594916E-2</v>
      </c>
      <c r="X23" s="72">
        <f t="shared" si="4"/>
        <v>4.7182808583481076E-2</v>
      </c>
      <c r="Y23" s="72">
        <f t="shared" si="4"/>
        <v>4.6165652802684101E-2</v>
      </c>
      <c r="Z23" s="72">
        <f t="shared" si="4"/>
        <v>4.682199398391855E-2</v>
      </c>
      <c r="AA23" s="72">
        <f t="shared" si="4"/>
        <v>4.7286541319774264E-2</v>
      </c>
      <c r="AB23" s="72">
        <f t="shared" si="4"/>
        <v>4.8937909146784378E-2</v>
      </c>
      <c r="AC23" s="72">
        <f t="shared" si="4"/>
        <v>4.8594978392394121E-2</v>
      </c>
      <c r="AD23" s="72">
        <f t="shared" si="4"/>
        <v>5.0528484226447706E-2</v>
      </c>
      <c r="AE23" s="72">
        <f t="shared" si="4"/>
        <v>4.9226177286716112E-2</v>
      </c>
      <c r="AF23" s="72">
        <f t="shared" si="4"/>
        <v>5.1772100802179505E-2</v>
      </c>
      <c r="AG23" s="72">
        <f t="shared" si="4"/>
        <v>5.0958556506120904E-2</v>
      </c>
      <c r="AH23" s="72">
        <f t="shared" si="4"/>
        <v>5.4973090890357804E-2</v>
      </c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</row>
    <row r="24" spans="1:59" s="70" customFormat="1" ht="16" thickBot="1">
      <c r="A24" s="52"/>
      <c r="B24" s="46" t="s">
        <v>56</v>
      </c>
      <c r="C24" s="72">
        <f>C16/C22</f>
        <v>3.7291462217860651E-2</v>
      </c>
      <c r="D24" s="72">
        <f t="shared" ref="D24:AH24" si="5">D16/D22</f>
        <v>3.8007792275974589E-2</v>
      </c>
      <c r="E24" s="72">
        <f t="shared" si="5"/>
        <v>3.6992866116295764E-2</v>
      </c>
      <c r="F24" s="72">
        <f t="shared" si="5"/>
        <v>3.8865447961533857E-2</v>
      </c>
      <c r="G24" s="72">
        <f t="shared" si="5"/>
        <v>3.8581779414283271E-2</v>
      </c>
      <c r="H24" s="72">
        <f t="shared" si="5"/>
        <v>4.0127366843637609E-2</v>
      </c>
      <c r="I24" s="72">
        <f t="shared" si="5"/>
        <v>4.0876547927970436E-2</v>
      </c>
      <c r="J24" s="72">
        <f t="shared" si="5"/>
        <v>4.4891067861917121E-2</v>
      </c>
      <c r="K24" s="72">
        <f t="shared" si="5"/>
        <v>4.5048398809523812E-2</v>
      </c>
      <c r="L24" s="72">
        <f t="shared" si="5"/>
        <v>4.7111323660714285E-2</v>
      </c>
      <c r="M24" s="72">
        <f t="shared" si="5"/>
        <v>4.444842023456267E-2</v>
      </c>
      <c r="N24" s="72">
        <f t="shared" si="5"/>
        <v>4.6268172248127737E-2</v>
      </c>
      <c r="O24" s="72">
        <f t="shared" si="5"/>
        <v>4.3246159900308258E-2</v>
      </c>
      <c r="P24" s="72">
        <f t="shared" si="5"/>
        <v>4.4395670623729261E-2</v>
      </c>
      <c r="Q24" s="72">
        <f t="shared" si="5"/>
        <v>4.4196224534570297E-2</v>
      </c>
      <c r="R24" s="72">
        <f t="shared" si="5"/>
        <v>4.3235360747194883E-2</v>
      </c>
      <c r="S24" s="72">
        <f t="shared" si="5"/>
        <v>4.4396488964969123E-2</v>
      </c>
      <c r="T24" s="72">
        <f t="shared" si="5"/>
        <v>4.382585804242832E-2</v>
      </c>
      <c r="U24" s="72">
        <f t="shared" si="5"/>
        <v>4.2453637993868226E-2</v>
      </c>
      <c r="V24" s="72">
        <f t="shared" si="5"/>
        <v>4.2142239254931449E-2</v>
      </c>
      <c r="W24" s="72">
        <f t="shared" si="5"/>
        <v>4.1761864558305863E-2</v>
      </c>
      <c r="X24" s="72">
        <f t="shared" si="5"/>
        <v>4.3122825054478404E-2</v>
      </c>
      <c r="Y24" s="72">
        <f t="shared" si="5"/>
        <v>4.3110719533275714E-2</v>
      </c>
      <c r="Z24" s="72">
        <f t="shared" si="5"/>
        <v>4.3723628457216938E-2</v>
      </c>
      <c r="AA24" s="72">
        <f t="shared" si="5"/>
        <v>4.2696495131426267E-2</v>
      </c>
      <c r="AB24" s="72">
        <f t="shared" si="5"/>
        <v>4.4187566722163361E-2</v>
      </c>
      <c r="AC24" s="72">
        <f t="shared" si="5"/>
        <v>4.2519744765325898E-2</v>
      </c>
      <c r="AD24" s="72">
        <f t="shared" si="5"/>
        <v>4.4211528099446992E-2</v>
      </c>
      <c r="AE24" s="72">
        <f t="shared" si="5"/>
        <v>4.2914851337086557E-2</v>
      </c>
      <c r="AF24" s="72">
        <f t="shared" si="5"/>
        <v>4.5134360045742436E-2</v>
      </c>
      <c r="AG24" s="72">
        <f t="shared" si="5"/>
        <v>4.6393139980205687E-2</v>
      </c>
      <c r="AH24" s="72">
        <f t="shared" si="5"/>
        <v>5.0048009121188522E-2</v>
      </c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  <row r="246" spans="1:34" s="50" customFormat="1">
      <c r="A246" s="49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6"/>
    </row>
    <row r="247" spans="1:34" s="50" customFormat="1">
      <c r="A247" s="49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6"/>
    </row>
    <row r="248" spans="1:34" s="50" customFormat="1">
      <c r="A248" s="49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6"/>
    </row>
    <row r="249" spans="1:34" s="50" customFormat="1">
      <c r="A249" s="49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6"/>
    </row>
    <row r="250" spans="1:34" s="50" customFormat="1">
      <c r="A250" s="49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6"/>
    </row>
  </sheetData>
  <mergeCells count="18">
    <mergeCell ref="AG1:AH1"/>
    <mergeCell ref="K1:L1"/>
    <mergeCell ref="M1:N1"/>
    <mergeCell ref="O1:P1"/>
    <mergeCell ref="W1:X1"/>
    <mergeCell ref="Y1:Z1"/>
    <mergeCell ref="AA1:AB1"/>
    <mergeCell ref="AC1:AD1"/>
    <mergeCell ref="AE1:AF1"/>
    <mergeCell ref="Q1:R1"/>
    <mergeCell ref="S1:T1"/>
    <mergeCell ref="U1:V1"/>
    <mergeCell ref="I1:J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BG245"/>
  <sheetViews>
    <sheetView zoomScale="85" zoomScaleNormal="85" workbookViewId="0">
      <pane xSplit="2" ySplit="2" topLeftCell="AG3" activePane="bottomRight" state="frozen"/>
      <selection pane="topRight" activeCell="C1" sqref="C1"/>
      <selection pane="bottomLeft" activeCell="A3" sqref="A3"/>
      <selection pane="bottomRight" activeCell="AK24" sqref="AK24"/>
    </sheetView>
  </sheetViews>
  <sheetFormatPr defaultColWidth="9.08984375" defaultRowHeight="14.5"/>
  <cols>
    <col min="1" max="1" width="5.6328125" style="26" customWidth="1"/>
    <col min="2" max="2" width="50.54296875" style="1" customWidth="1"/>
    <col min="3" max="3" width="12.08984375" style="6" hidden="1" customWidth="1"/>
    <col min="4" max="4" width="12.08984375" style="8" hidden="1" customWidth="1"/>
    <col min="5" max="5" width="13.90625" style="6" hidden="1" customWidth="1"/>
    <col min="6" max="6" width="13.90625" style="8" hidden="1" customWidth="1"/>
    <col min="7" max="7" width="13.90625" style="6" hidden="1" customWidth="1"/>
    <col min="8" max="8" width="13.90625" style="8" hidden="1" customWidth="1"/>
    <col min="9" max="9" width="13.90625" style="6" hidden="1" customWidth="1"/>
    <col min="10" max="10" width="13.90625" style="8" hidden="1" customWidth="1"/>
    <col min="11" max="11" width="13.90625" style="6" hidden="1" customWidth="1"/>
    <col min="12" max="12" width="13.90625" style="8" hidden="1" customWidth="1"/>
    <col min="13" max="13" width="13.90625" style="6" hidden="1" customWidth="1"/>
    <col min="14" max="14" width="13.90625" style="8" hidden="1" customWidth="1"/>
    <col min="15" max="15" width="13.90625" style="6" hidden="1" customWidth="1"/>
    <col min="16" max="16" width="13.90625" style="8" hidden="1" customWidth="1"/>
    <col min="17" max="17" width="13.90625" style="6" hidden="1" customWidth="1"/>
    <col min="18" max="18" width="13.90625" style="8" hidden="1" customWidth="1"/>
    <col min="19" max="19" width="13.90625" style="6" hidden="1" customWidth="1"/>
    <col min="20" max="20" width="13.90625" style="8" hidden="1" customWidth="1"/>
    <col min="21" max="21" width="13.90625" style="6" hidden="1" customWidth="1"/>
    <col min="22" max="22" width="13.90625" style="8" hidden="1" customWidth="1"/>
    <col min="23" max="23" width="13.90625" style="6" hidden="1" customWidth="1"/>
    <col min="24" max="24" width="13.90625" style="8" hidden="1" customWidth="1"/>
    <col min="25" max="25" width="13.90625" style="6" hidden="1" customWidth="1"/>
    <col min="26" max="26" width="13.90625" style="8" hidden="1" customWidth="1"/>
    <col min="27" max="27" width="13.90625" style="6" hidden="1" customWidth="1"/>
    <col min="28" max="31" width="13.90625" style="8" hidden="1" customWidth="1"/>
    <col min="32" max="32" width="13.90625" style="51" hidden="1" customWidth="1"/>
    <col min="33" max="33" width="13.90625" style="51" bestFit="1" customWidth="1"/>
    <col min="34" max="34" width="13.90625" style="56" bestFit="1" customWidth="1"/>
    <col min="35" max="16384" width="9.08984375" style="1"/>
  </cols>
  <sheetData>
    <row r="1" spans="1:59" s="54" customFormat="1">
      <c r="A1" s="189" t="s">
        <v>19</v>
      </c>
      <c r="B1" s="190" t="s">
        <v>64</v>
      </c>
      <c r="C1" s="187">
        <v>2005</v>
      </c>
      <c r="D1" s="188"/>
      <c r="E1" s="187">
        <v>2006</v>
      </c>
      <c r="F1" s="188"/>
      <c r="G1" s="187">
        <v>2007</v>
      </c>
      <c r="H1" s="188"/>
      <c r="I1" s="187">
        <v>2008</v>
      </c>
      <c r="J1" s="188"/>
      <c r="K1" s="187">
        <v>2009</v>
      </c>
      <c r="L1" s="188"/>
      <c r="M1" s="187">
        <v>2010</v>
      </c>
      <c r="N1" s="188"/>
      <c r="O1" s="187">
        <v>2011</v>
      </c>
      <c r="P1" s="188"/>
      <c r="Q1" s="187">
        <v>2012</v>
      </c>
      <c r="R1" s="188"/>
      <c r="S1" s="187">
        <v>2013</v>
      </c>
      <c r="T1" s="188"/>
      <c r="U1" s="187">
        <v>2014</v>
      </c>
      <c r="V1" s="188"/>
      <c r="W1" s="187">
        <v>2015</v>
      </c>
      <c r="X1" s="188"/>
      <c r="Y1" s="187">
        <v>2016</v>
      </c>
      <c r="Z1" s="188"/>
      <c r="AA1" s="187" t="s">
        <v>17</v>
      </c>
      <c r="AB1" s="188"/>
      <c r="AC1" s="188">
        <v>2018</v>
      </c>
      <c r="AD1" s="188"/>
      <c r="AE1" s="188">
        <v>2019</v>
      </c>
      <c r="AF1" s="188"/>
      <c r="AG1" s="100">
        <v>2020</v>
      </c>
      <c r="AH1" s="100"/>
    </row>
    <row r="2" spans="1:59" s="54" customFormat="1" ht="26">
      <c r="A2" s="189"/>
      <c r="B2" s="190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65</v>
      </c>
      <c r="AH2" s="86" t="s">
        <v>66</v>
      </c>
    </row>
    <row r="3" spans="1:59" s="20" customFormat="1" ht="39">
      <c r="A3" s="87" t="s">
        <v>20</v>
      </c>
      <c r="B3" s="88" t="s">
        <v>46</v>
      </c>
      <c r="C3" s="89">
        <v>32640563</v>
      </c>
      <c r="D3" s="89">
        <v>32850882</v>
      </c>
      <c r="E3" s="89">
        <v>34946638</v>
      </c>
      <c r="F3" s="89">
        <v>36670746</v>
      </c>
      <c r="G3" s="89">
        <v>39897085</v>
      </c>
      <c r="H3" s="89">
        <v>40352128</v>
      </c>
      <c r="I3" s="89">
        <v>46062681</v>
      </c>
      <c r="J3" s="89">
        <v>49289545</v>
      </c>
      <c r="K3" s="89">
        <v>54169115</v>
      </c>
      <c r="L3" s="89">
        <v>54574799</v>
      </c>
      <c r="M3" s="89">
        <v>54300698</v>
      </c>
      <c r="N3" s="89">
        <v>56036700</v>
      </c>
      <c r="O3" s="89">
        <v>56772862</v>
      </c>
      <c r="P3" s="89">
        <v>57545771</v>
      </c>
      <c r="Q3" s="89">
        <v>61068349</v>
      </c>
      <c r="R3" s="89">
        <v>59151362</v>
      </c>
      <c r="S3" s="89">
        <v>63157117</v>
      </c>
      <c r="T3" s="89">
        <v>61208506</v>
      </c>
      <c r="U3" s="89">
        <v>63340802</v>
      </c>
      <c r="V3" s="89">
        <v>62570410</v>
      </c>
      <c r="W3" s="89">
        <v>64948039</v>
      </c>
      <c r="X3" s="89">
        <v>66697481</v>
      </c>
      <c r="Y3" s="89">
        <v>69533396</v>
      </c>
      <c r="Z3" s="89">
        <v>69760162</v>
      </c>
      <c r="AA3" s="89">
        <v>73707917</v>
      </c>
      <c r="AB3" s="89">
        <v>74474317</v>
      </c>
      <c r="AC3" s="89">
        <v>78893960</v>
      </c>
      <c r="AD3" s="89">
        <v>78512757</v>
      </c>
      <c r="AE3" s="89">
        <v>84225312</v>
      </c>
      <c r="AF3" s="89">
        <v>86915607</v>
      </c>
      <c r="AG3" s="89">
        <v>93799417</v>
      </c>
      <c r="AH3" s="89">
        <v>100839539.39</v>
      </c>
      <c r="AI3" s="99">
        <f>AH3/$AH$12</f>
        <v>0.86701499992699582</v>
      </c>
    </row>
    <row r="4" spans="1:59" s="47" customFormat="1" ht="26">
      <c r="A4" s="87" t="s">
        <v>21</v>
      </c>
      <c r="B4" s="88" t="s">
        <v>2</v>
      </c>
      <c r="C4" s="89">
        <v>3443835</v>
      </c>
      <c r="D4" s="89">
        <v>3583317</v>
      </c>
      <c r="E4" s="89">
        <v>3724518</v>
      </c>
      <c r="F4" s="89">
        <v>3646853</v>
      </c>
      <c r="G4" s="89">
        <v>4008005</v>
      </c>
      <c r="H4" s="89">
        <v>4042585</v>
      </c>
      <c r="I4" s="89">
        <v>4677685</v>
      </c>
      <c r="J4" s="89">
        <v>4522790</v>
      </c>
      <c r="K4" s="89">
        <v>4392205</v>
      </c>
      <c r="L4" s="89">
        <v>4708286</v>
      </c>
      <c r="M4" s="89">
        <v>3482702</v>
      </c>
      <c r="N4" s="89">
        <v>4085571</v>
      </c>
      <c r="O4" s="89">
        <v>3686516</v>
      </c>
      <c r="P4" s="89">
        <v>4524194</v>
      </c>
      <c r="Q4" s="89">
        <v>3949494</v>
      </c>
      <c r="R4" s="89">
        <v>4110722</v>
      </c>
      <c r="S4" s="89">
        <v>3705064</v>
      </c>
      <c r="T4" s="89">
        <v>4317542</v>
      </c>
      <c r="U4" s="89">
        <v>4039086</v>
      </c>
      <c r="V4" s="89">
        <v>4266668</v>
      </c>
      <c r="W4" s="89">
        <v>4082269</v>
      </c>
      <c r="X4" s="89">
        <v>4664933</v>
      </c>
      <c r="Y4" s="89">
        <v>4534432</v>
      </c>
      <c r="Z4" s="89">
        <v>5604885</v>
      </c>
      <c r="AA4" s="89">
        <v>4944963</v>
      </c>
      <c r="AB4" s="89">
        <v>7184521</v>
      </c>
      <c r="AC4" s="89">
        <v>5103028</v>
      </c>
      <c r="AD4" s="89">
        <v>8120730</v>
      </c>
      <c r="AE4" s="89">
        <v>5420838</v>
      </c>
      <c r="AF4" s="89">
        <v>8354779</v>
      </c>
      <c r="AG4" s="89">
        <v>5221246</v>
      </c>
      <c r="AH4" s="89">
        <v>6144506.8000000007</v>
      </c>
      <c r="AI4" s="99">
        <f t="shared" ref="AI4:AI11" si="0">AH4/$AH$12</f>
        <v>5.2830264745157382E-2</v>
      </c>
    </row>
    <row r="5" spans="1:59" s="47" customFormat="1" ht="26">
      <c r="A5" s="87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  <c r="AI5" s="99">
        <f t="shared" si="0"/>
        <v>4.7471056674691044E-2</v>
      </c>
    </row>
    <row r="6" spans="1:59" s="47" customFormat="1" ht="45" customHeight="1">
      <c r="A6" s="87" t="s">
        <v>24</v>
      </c>
      <c r="B6" s="88" t="s">
        <v>5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89">
        <v>0</v>
      </c>
      <c r="J6" s="89">
        <v>0</v>
      </c>
      <c r="K6" s="89">
        <v>567583</v>
      </c>
      <c r="L6" s="89">
        <v>567583</v>
      </c>
      <c r="M6" s="89">
        <v>717583</v>
      </c>
      <c r="N6" s="89">
        <v>670357</v>
      </c>
      <c r="O6" s="89">
        <v>717583</v>
      </c>
      <c r="P6" s="89">
        <v>717583</v>
      </c>
      <c r="Q6" s="89">
        <v>717583</v>
      </c>
      <c r="R6" s="89">
        <v>754617</v>
      </c>
      <c r="S6" s="89">
        <v>835329</v>
      </c>
      <c r="T6" s="89">
        <v>835329</v>
      </c>
      <c r="U6" s="89">
        <v>835329</v>
      </c>
      <c r="V6" s="89">
        <v>835329</v>
      </c>
      <c r="W6" s="89">
        <v>835329</v>
      </c>
      <c r="X6" s="89">
        <v>835329</v>
      </c>
      <c r="Y6" s="89">
        <v>835329</v>
      </c>
      <c r="Z6" s="89">
        <v>835329</v>
      </c>
      <c r="AA6" s="89">
        <v>1032721</v>
      </c>
      <c r="AB6" s="89">
        <v>1032721</v>
      </c>
      <c r="AC6" s="89">
        <v>1179019</v>
      </c>
      <c r="AD6" s="89">
        <v>1429019</v>
      </c>
      <c r="AE6" s="89">
        <v>2243053</v>
      </c>
      <c r="AF6" s="89">
        <v>1942864</v>
      </c>
      <c r="AG6" s="89">
        <v>2243053</v>
      </c>
      <c r="AH6" s="89">
        <v>2044646</v>
      </c>
      <c r="AI6" s="99">
        <f t="shared" si="0"/>
        <v>1.757979818496206E-2</v>
      </c>
    </row>
    <row r="7" spans="1:59" s="47" customFormat="1" ht="15.5">
      <c r="A7" s="87" t="s">
        <v>25</v>
      </c>
      <c r="B7" s="88" t="s">
        <v>9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0</v>
      </c>
      <c r="M7" s="89">
        <v>213997</v>
      </c>
      <c r="N7" s="89">
        <v>470650</v>
      </c>
      <c r="O7" s="89">
        <v>439303</v>
      </c>
      <c r="P7" s="89">
        <v>482376</v>
      </c>
      <c r="Q7" s="89">
        <v>339703</v>
      </c>
      <c r="R7" s="89">
        <v>355241</v>
      </c>
      <c r="S7" s="89">
        <v>328845</v>
      </c>
      <c r="T7" s="89">
        <v>516877</v>
      </c>
      <c r="U7" s="89">
        <v>325103</v>
      </c>
      <c r="V7" s="89">
        <v>372061</v>
      </c>
      <c r="W7" s="89">
        <v>377349</v>
      </c>
      <c r="X7" s="89">
        <v>439637</v>
      </c>
      <c r="Y7" s="89">
        <v>300933</v>
      </c>
      <c r="Z7" s="89">
        <v>206990</v>
      </c>
      <c r="AA7" s="89">
        <v>495619</v>
      </c>
      <c r="AB7" s="89">
        <v>417094</v>
      </c>
      <c r="AC7" s="89">
        <v>533485</v>
      </c>
      <c r="AD7" s="89">
        <v>1014277</v>
      </c>
      <c r="AE7" s="89">
        <v>915092</v>
      </c>
      <c r="AF7" s="89">
        <v>820449</v>
      </c>
      <c r="AG7" s="89">
        <v>669991</v>
      </c>
      <c r="AH7" s="89">
        <v>1386207.50673</v>
      </c>
      <c r="AI7" s="99">
        <f t="shared" si="0"/>
        <v>1.1918565957526554E-2</v>
      </c>
    </row>
    <row r="8" spans="1:59" s="47" customFormat="1" ht="26">
      <c r="A8" s="87" t="s">
        <v>26</v>
      </c>
      <c r="B8" s="88" t="s">
        <v>45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0</v>
      </c>
      <c r="Y8" s="89">
        <v>0</v>
      </c>
      <c r="Z8" s="89">
        <v>0</v>
      </c>
      <c r="AA8" s="89">
        <v>0</v>
      </c>
      <c r="AB8" s="89">
        <v>0</v>
      </c>
      <c r="AC8" s="89">
        <v>0</v>
      </c>
      <c r="AD8" s="89">
        <v>0</v>
      </c>
      <c r="AE8" s="89">
        <v>0</v>
      </c>
      <c r="AF8" s="89">
        <v>0</v>
      </c>
      <c r="AG8" s="89">
        <v>279473</v>
      </c>
      <c r="AH8" s="89">
        <v>279473</v>
      </c>
      <c r="AI8" s="99">
        <f t="shared" si="0"/>
        <v>2.4028995425838516E-3</v>
      </c>
    </row>
    <row r="9" spans="1:59" s="47" customFormat="1" ht="39">
      <c r="A9" s="87" t="s">
        <v>27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  <c r="AI9" s="99">
        <f t="shared" si="0"/>
        <v>3.5980770971810885E-4</v>
      </c>
    </row>
    <row r="10" spans="1:59" s="47" customFormat="1" ht="26">
      <c r="A10" s="87" t="s">
        <v>36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  <c r="AI10" s="99">
        <f t="shared" si="0"/>
        <v>2.1419254598780175E-4</v>
      </c>
    </row>
    <row r="11" spans="1:59" s="47" customFormat="1" ht="52">
      <c r="A11" s="87" t="s">
        <v>37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  <c r="AI11" s="99">
        <f t="shared" si="0"/>
        <v>2.0841471237734079E-4</v>
      </c>
    </row>
    <row r="12" spans="1:59" s="48" customFormat="1" ht="26">
      <c r="A12" s="92"/>
      <c r="B12" s="93" t="s">
        <v>61</v>
      </c>
      <c r="C12" s="94">
        <f t="shared" ref="C12:AH12" si="1">SUM(C3:C11)</f>
        <v>36936000</v>
      </c>
      <c r="D12" s="94">
        <f t="shared" si="1"/>
        <v>37645502</v>
      </c>
      <c r="E12" s="94">
        <f t="shared" si="1"/>
        <v>39575856</v>
      </c>
      <c r="F12" s="94">
        <f t="shared" si="1"/>
        <v>41579189</v>
      </c>
      <c r="G12" s="94">
        <f t="shared" si="1"/>
        <v>45055802</v>
      </c>
      <c r="H12" s="94">
        <f t="shared" si="1"/>
        <v>46860739</v>
      </c>
      <c r="I12" s="94">
        <f t="shared" si="1"/>
        <v>51982706</v>
      </c>
      <c r="J12" s="94">
        <f t="shared" si="1"/>
        <v>57087971</v>
      </c>
      <c r="K12" s="94">
        <f t="shared" si="1"/>
        <v>60545048</v>
      </c>
      <c r="L12" s="94">
        <f t="shared" si="1"/>
        <v>63317619</v>
      </c>
      <c r="M12" s="94">
        <f t="shared" si="1"/>
        <v>62912294</v>
      </c>
      <c r="N12" s="94">
        <f t="shared" si="1"/>
        <v>65487971</v>
      </c>
      <c r="O12" s="94">
        <f t="shared" si="1"/>
        <v>65937420</v>
      </c>
      <c r="P12" s="94">
        <f t="shared" si="1"/>
        <v>67690079</v>
      </c>
      <c r="Q12" s="94">
        <f t="shared" si="1"/>
        <v>70506237</v>
      </c>
      <c r="R12" s="94">
        <f t="shared" si="1"/>
        <v>68973371</v>
      </c>
      <c r="S12" s="94">
        <f t="shared" si="1"/>
        <v>72619337</v>
      </c>
      <c r="T12" s="94">
        <f t="shared" si="1"/>
        <v>71685956</v>
      </c>
      <c r="U12" s="94">
        <f t="shared" si="1"/>
        <v>73389604</v>
      </c>
      <c r="V12" s="94">
        <f t="shared" si="1"/>
        <v>72851289</v>
      </c>
      <c r="W12" s="94">
        <f t="shared" si="1"/>
        <v>74741209</v>
      </c>
      <c r="X12" s="94">
        <f t="shared" si="1"/>
        <v>77176920</v>
      </c>
      <c r="Y12" s="94">
        <f t="shared" si="1"/>
        <v>79806564</v>
      </c>
      <c r="Z12" s="94">
        <f t="shared" si="1"/>
        <v>80941181</v>
      </c>
      <c r="AA12" s="94">
        <f t="shared" si="1"/>
        <v>84628723</v>
      </c>
      <c r="AB12" s="94">
        <f t="shared" si="1"/>
        <v>87584176</v>
      </c>
      <c r="AC12" s="94">
        <f t="shared" si="1"/>
        <v>89959024</v>
      </c>
      <c r="AD12" s="94">
        <f t="shared" si="1"/>
        <v>93538330</v>
      </c>
      <c r="AE12" s="94">
        <f t="shared" si="1"/>
        <v>97571206</v>
      </c>
      <c r="AF12" s="94">
        <f t="shared" si="1"/>
        <v>102617481</v>
      </c>
      <c r="AG12" s="94">
        <f t="shared" si="1"/>
        <v>107813018</v>
      </c>
      <c r="AH12" s="94">
        <f t="shared" si="1"/>
        <v>116306568.39673001</v>
      </c>
    </row>
    <row r="13" spans="1:59" s="20" customFormat="1" ht="15.5">
      <c r="A13" s="92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5">
      <c r="A14" s="92"/>
      <c r="B14" s="93" t="s">
        <v>33</v>
      </c>
      <c r="C14" s="95">
        <f>C12/C13</f>
        <v>4.3663187261357324E-2</v>
      </c>
      <c r="D14" s="95">
        <f t="shared" ref="D14:AH14" si="2">D12/D13</f>
        <v>4.4501911505680142E-2</v>
      </c>
      <c r="E14" s="95">
        <f t="shared" si="2"/>
        <v>4.2415033513314229E-2</v>
      </c>
      <c r="F14" s="95">
        <f t="shared" si="2"/>
        <v>4.4562085906402787E-2</v>
      </c>
      <c r="G14" s="95">
        <f t="shared" si="2"/>
        <v>4.5489407027788885E-2</v>
      </c>
      <c r="H14" s="95">
        <f t="shared" si="2"/>
        <v>4.7311714260329457E-2</v>
      </c>
      <c r="I14" s="95">
        <f t="shared" si="2"/>
        <v>4.8589960591648718E-2</v>
      </c>
      <c r="J14" s="95">
        <f t="shared" si="2"/>
        <v>5.3362021229660203E-2</v>
      </c>
      <c r="K14" s="95">
        <f t="shared" si="2"/>
        <v>5.184539133413256E-2</v>
      </c>
      <c r="L14" s="95">
        <f t="shared" si="2"/>
        <v>5.4219574413426959E-2</v>
      </c>
      <c r="M14" s="95">
        <f t="shared" si="2"/>
        <v>4.9471018321931272E-2</v>
      </c>
      <c r="N14" s="95">
        <f t="shared" si="2"/>
        <v>5.1496399308012898E-2</v>
      </c>
      <c r="O14" s="95">
        <f t="shared" si="2"/>
        <v>4.9060580357142856E-2</v>
      </c>
      <c r="P14" s="95">
        <f t="shared" si="2"/>
        <v>5.0364642113095236E-2</v>
      </c>
      <c r="Q14" s="95">
        <f t="shared" si="2"/>
        <v>4.981364773208987E-2</v>
      </c>
      <c r="R14" s="95">
        <f t="shared" si="2"/>
        <v>4.8730656351561395E-2</v>
      </c>
      <c r="S14" s="95">
        <f t="shared" si="2"/>
        <v>4.7628606939069978E-2</v>
      </c>
      <c r="T14" s="95">
        <f t="shared" si="2"/>
        <v>4.7016433396733781E-2</v>
      </c>
      <c r="U14" s="95">
        <f t="shared" si="2"/>
        <v>4.6003638187174824E-2</v>
      </c>
      <c r="V14" s="95">
        <f t="shared" si="2"/>
        <v>4.5666200087757791E-2</v>
      </c>
      <c r="W14" s="95">
        <f t="shared" si="2"/>
        <v>4.5693714617594916E-2</v>
      </c>
      <c r="X14" s="95">
        <f t="shared" si="2"/>
        <v>4.7182808583481076E-2</v>
      </c>
      <c r="Y14" s="95">
        <f t="shared" si="2"/>
        <v>4.6165652802684101E-2</v>
      </c>
      <c r="Z14" s="95">
        <f t="shared" si="2"/>
        <v>4.682199398391855E-2</v>
      </c>
      <c r="AA14" s="95">
        <f t="shared" si="2"/>
        <v>4.7286541319774264E-2</v>
      </c>
      <c r="AB14" s="95">
        <f t="shared" si="2"/>
        <v>4.8937909146784378E-2</v>
      </c>
      <c r="AC14" s="95">
        <f t="shared" si="2"/>
        <v>4.8594978392394121E-2</v>
      </c>
      <c r="AD14" s="95">
        <f t="shared" si="2"/>
        <v>5.0528484226447706E-2</v>
      </c>
      <c r="AE14" s="95">
        <f t="shared" si="2"/>
        <v>4.9226177286716112E-2</v>
      </c>
      <c r="AF14" s="95">
        <f t="shared" si="2"/>
        <v>5.1772100802179505E-2</v>
      </c>
      <c r="AG14" s="95">
        <f t="shared" si="2"/>
        <v>5.0958556506120904E-2</v>
      </c>
      <c r="AH14" s="95">
        <f t="shared" si="2"/>
        <v>5.4973090890357804E-2</v>
      </c>
    </row>
    <row r="15" spans="1:59" s="50" customFormat="1" ht="1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" thickBot="1">
      <c r="A18" s="52"/>
      <c r="B18" s="46" t="s">
        <v>55</v>
      </c>
      <c r="C18" s="72">
        <f t="shared" ref="C18:AH18" si="3">C12/C16</f>
        <v>4.3663187261357324E-2</v>
      </c>
      <c r="D18" s="72">
        <f t="shared" si="3"/>
        <v>4.4501911505680142E-2</v>
      </c>
      <c r="E18" s="72">
        <f t="shared" si="3"/>
        <v>4.2415033513314229E-2</v>
      </c>
      <c r="F18" s="72">
        <f t="shared" si="3"/>
        <v>4.4562085906402787E-2</v>
      </c>
      <c r="G18" s="72">
        <f t="shared" si="3"/>
        <v>4.5489407027788885E-2</v>
      </c>
      <c r="H18" s="72">
        <f t="shared" si="3"/>
        <v>4.7311714260329457E-2</v>
      </c>
      <c r="I18" s="72">
        <f t="shared" si="3"/>
        <v>4.8589960591648718E-2</v>
      </c>
      <c r="J18" s="72">
        <f t="shared" si="3"/>
        <v>5.3362021229660203E-2</v>
      </c>
      <c r="K18" s="72">
        <f t="shared" si="3"/>
        <v>5.184539133413256E-2</v>
      </c>
      <c r="L18" s="72">
        <f t="shared" si="3"/>
        <v>5.4219574413426959E-2</v>
      </c>
      <c r="M18" s="72">
        <f t="shared" si="3"/>
        <v>4.9471018321931272E-2</v>
      </c>
      <c r="N18" s="72">
        <f t="shared" si="3"/>
        <v>5.1496399308012898E-2</v>
      </c>
      <c r="O18" s="72">
        <f t="shared" si="3"/>
        <v>4.9060580357142856E-2</v>
      </c>
      <c r="P18" s="72">
        <f t="shared" si="3"/>
        <v>5.0364642113095236E-2</v>
      </c>
      <c r="Q18" s="72">
        <f t="shared" si="3"/>
        <v>4.981364773208987E-2</v>
      </c>
      <c r="R18" s="72">
        <f t="shared" si="3"/>
        <v>4.8730656351561395E-2</v>
      </c>
      <c r="S18" s="72">
        <f t="shared" si="3"/>
        <v>4.7628606939069978E-2</v>
      </c>
      <c r="T18" s="72">
        <f t="shared" si="3"/>
        <v>4.7016433396733781E-2</v>
      </c>
      <c r="U18" s="72">
        <f t="shared" si="3"/>
        <v>4.6003638187174824E-2</v>
      </c>
      <c r="V18" s="72">
        <f t="shared" si="3"/>
        <v>4.5666200087757791E-2</v>
      </c>
      <c r="W18" s="72">
        <f t="shared" si="3"/>
        <v>4.5693714617594916E-2</v>
      </c>
      <c r="X18" s="72">
        <f t="shared" si="3"/>
        <v>4.7182808583481076E-2</v>
      </c>
      <c r="Y18" s="72">
        <f t="shared" si="3"/>
        <v>4.6165652802684101E-2</v>
      </c>
      <c r="Z18" s="72">
        <f t="shared" si="3"/>
        <v>4.682199398391855E-2</v>
      </c>
      <c r="AA18" s="72">
        <f t="shared" si="3"/>
        <v>4.7286541319774264E-2</v>
      </c>
      <c r="AB18" s="72">
        <f t="shared" si="3"/>
        <v>4.8937909146784378E-2</v>
      </c>
      <c r="AC18" s="72">
        <f t="shared" si="3"/>
        <v>4.8594978392394121E-2</v>
      </c>
      <c r="AD18" s="72">
        <f t="shared" si="3"/>
        <v>5.0528484226447706E-2</v>
      </c>
      <c r="AE18" s="72">
        <f t="shared" si="3"/>
        <v>4.9226177286716112E-2</v>
      </c>
      <c r="AF18" s="72">
        <f t="shared" si="3"/>
        <v>5.1772100802179505E-2</v>
      </c>
      <c r="AG18" s="72">
        <f t="shared" si="3"/>
        <v>5.0958556506120904E-2</v>
      </c>
      <c r="AH18" s="72">
        <f t="shared" si="3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" thickBot="1">
      <c r="A19" s="52"/>
      <c r="B19" s="46" t="s">
        <v>56</v>
      </c>
      <c r="C19" s="72">
        <f t="shared" ref="C19:AH19" si="4">C12/C17</f>
        <v>3.7291462217860651E-2</v>
      </c>
      <c r="D19" s="72">
        <f t="shared" si="4"/>
        <v>3.8007792275974589E-2</v>
      </c>
      <c r="E19" s="72">
        <f t="shared" si="4"/>
        <v>3.6992866116295764E-2</v>
      </c>
      <c r="F19" s="72">
        <f t="shared" si="4"/>
        <v>3.8865447961533857E-2</v>
      </c>
      <c r="G19" s="72">
        <f t="shared" si="4"/>
        <v>3.8581779414283271E-2</v>
      </c>
      <c r="H19" s="72">
        <f t="shared" si="4"/>
        <v>4.0127366843637609E-2</v>
      </c>
      <c r="I19" s="72">
        <f t="shared" si="4"/>
        <v>4.0876547927970436E-2</v>
      </c>
      <c r="J19" s="72">
        <f t="shared" si="4"/>
        <v>4.4891067861917121E-2</v>
      </c>
      <c r="K19" s="72">
        <f t="shared" si="4"/>
        <v>4.5048398809523812E-2</v>
      </c>
      <c r="L19" s="72">
        <f t="shared" si="4"/>
        <v>4.7111323660714285E-2</v>
      </c>
      <c r="M19" s="72">
        <f t="shared" si="4"/>
        <v>4.444842023456267E-2</v>
      </c>
      <c r="N19" s="72">
        <f t="shared" si="4"/>
        <v>4.6268172248127737E-2</v>
      </c>
      <c r="O19" s="72">
        <f t="shared" si="4"/>
        <v>4.3246159900308258E-2</v>
      </c>
      <c r="P19" s="72">
        <f t="shared" si="4"/>
        <v>4.4395670623729261E-2</v>
      </c>
      <c r="Q19" s="72">
        <f t="shared" si="4"/>
        <v>4.4196224534570297E-2</v>
      </c>
      <c r="R19" s="72">
        <f t="shared" si="4"/>
        <v>4.3235360747194883E-2</v>
      </c>
      <c r="S19" s="72">
        <f t="shared" si="4"/>
        <v>4.4396488964969123E-2</v>
      </c>
      <c r="T19" s="72">
        <f t="shared" si="4"/>
        <v>4.382585804242832E-2</v>
      </c>
      <c r="U19" s="72">
        <f t="shared" si="4"/>
        <v>4.2453637993868226E-2</v>
      </c>
      <c r="V19" s="72">
        <f t="shared" si="4"/>
        <v>4.2142239254931449E-2</v>
      </c>
      <c r="W19" s="72">
        <f t="shared" si="4"/>
        <v>4.1761864558305863E-2</v>
      </c>
      <c r="X19" s="72">
        <f t="shared" si="4"/>
        <v>4.3122825054478404E-2</v>
      </c>
      <c r="Y19" s="72">
        <f t="shared" si="4"/>
        <v>4.3110719533275714E-2</v>
      </c>
      <c r="Z19" s="72">
        <f t="shared" si="4"/>
        <v>4.3723628457216938E-2</v>
      </c>
      <c r="AA19" s="72">
        <f t="shared" si="4"/>
        <v>4.2696495131426267E-2</v>
      </c>
      <c r="AB19" s="72">
        <f t="shared" si="4"/>
        <v>4.4187566722163361E-2</v>
      </c>
      <c r="AC19" s="72">
        <f t="shared" si="4"/>
        <v>4.2519744765325898E-2</v>
      </c>
      <c r="AD19" s="72">
        <f t="shared" si="4"/>
        <v>4.4211528099446992E-2</v>
      </c>
      <c r="AE19" s="72">
        <f t="shared" si="4"/>
        <v>4.2914851337086557E-2</v>
      </c>
      <c r="AF19" s="72">
        <f t="shared" si="4"/>
        <v>4.5134360045742436E-2</v>
      </c>
      <c r="AG19" s="72">
        <f t="shared" si="4"/>
        <v>4.6393139980205687E-2</v>
      </c>
      <c r="AH19" s="72">
        <f t="shared" si="4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B23" s="50" t="s">
        <v>63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sortState ref="B4:AH11">
    <sortCondition descending="1" ref="AH4:AH11"/>
  </sortState>
  <mergeCells count="17">
    <mergeCell ref="O1:P1"/>
    <mergeCell ref="Q1:R1"/>
    <mergeCell ref="S1:T1"/>
    <mergeCell ref="AE1:AF1"/>
    <mergeCell ref="I1:J1"/>
    <mergeCell ref="U1:V1"/>
    <mergeCell ref="W1:X1"/>
    <mergeCell ref="Y1:Z1"/>
    <mergeCell ref="AA1:AB1"/>
    <mergeCell ref="AC1:AD1"/>
    <mergeCell ref="K1:L1"/>
    <mergeCell ref="M1:N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K21"/>
  <sheetViews>
    <sheetView workbookViewId="0">
      <selection activeCell="G30" sqref="G30"/>
    </sheetView>
  </sheetViews>
  <sheetFormatPr defaultColWidth="8.6328125" defaultRowHeight="13"/>
  <cols>
    <col min="1" max="1" width="8.6328125" style="53" customWidth="1"/>
    <col min="2" max="2" width="14" style="53" customWidth="1"/>
    <col min="3" max="3" width="15.08984375" style="53" customWidth="1"/>
    <col min="4" max="4" width="12.54296875" style="59" hidden="1" customWidth="1"/>
    <col min="5" max="5" width="13.453125" style="53" hidden="1" customWidth="1"/>
    <col min="6" max="6" width="12.6328125" style="53" customWidth="1"/>
    <col min="7" max="7" width="9.453125" style="53" customWidth="1"/>
    <col min="8" max="8" width="9.6328125" style="53" customWidth="1"/>
    <col min="9" max="9" width="13.90625" style="53" customWidth="1"/>
    <col min="10" max="10" width="9.6328125" style="53" customWidth="1"/>
    <col min="11" max="11" width="9.08984375" style="53" customWidth="1"/>
    <col min="12" max="16384" width="8.6328125" style="53"/>
  </cols>
  <sheetData>
    <row r="3" spans="1:11">
      <c r="K3" s="53" t="s">
        <v>57</v>
      </c>
    </row>
    <row r="4" spans="1:11" ht="39.9" customHeight="1">
      <c r="A4" s="96" t="s">
        <v>39</v>
      </c>
      <c r="B4" s="96" t="s">
        <v>60</v>
      </c>
      <c r="C4" s="96" t="s">
        <v>59</v>
      </c>
      <c r="D4" s="183" t="s">
        <v>58</v>
      </c>
      <c r="E4" s="183"/>
      <c r="F4" s="184" t="s">
        <v>40</v>
      </c>
      <c r="G4" s="185"/>
      <c r="H4" s="186"/>
      <c r="I4" s="184" t="s">
        <v>1</v>
      </c>
      <c r="J4" s="185"/>
      <c r="K4" s="186"/>
    </row>
    <row r="5" spans="1:11" ht="20.149999999999999" customHeight="1">
      <c r="A5" s="96"/>
      <c r="B5" s="96" t="s">
        <v>41</v>
      </c>
      <c r="C5" s="96" t="s">
        <v>41</v>
      </c>
      <c r="D5" s="96" t="s">
        <v>41</v>
      </c>
      <c r="E5" s="96" t="s">
        <v>42</v>
      </c>
      <c r="F5" s="96" t="s">
        <v>41</v>
      </c>
      <c r="G5" s="96" t="s">
        <v>55</v>
      </c>
      <c r="H5" s="84" t="s">
        <v>56</v>
      </c>
      <c r="I5" s="96" t="s">
        <v>41</v>
      </c>
      <c r="J5" s="96" t="s">
        <v>55</v>
      </c>
      <c r="K5" s="84" t="s">
        <v>56</v>
      </c>
    </row>
    <row r="6" spans="1:11" hidden="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21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21" si="3">I6/B6</f>
        <v>3.8007792275974589E-2</v>
      </c>
    </row>
    <row r="7" spans="1:11" hidden="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 hidden="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si="1"/>
        <v>3.8581779414283271E-2</v>
      </c>
      <c r="I8" s="58">
        <v>46860739</v>
      </c>
      <c r="J8" s="79">
        <f>I8/C8</f>
        <v>4.7311714260329457E-2</v>
      </c>
      <c r="K8" s="80">
        <f t="shared" si="3"/>
        <v>4.0127366843637609E-2</v>
      </c>
    </row>
    <row r="9" spans="1:11" hidden="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4">F9/C9</f>
        <v>4.8589960591648718E-2</v>
      </c>
      <c r="H9" s="80">
        <f t="shared" si="1"/>
        <v>4.0876547927970436E-2</v>
      </c>
      <c r="I9" s="58">
        <v>57087971</v>
      </c>
      <c r="J9" s="79">
        <f t="shared" ref="J9:J21" si="5">I9/C9</f>
        <v>5.3362021229660203E-2</v>
      </c>
      <c r="K9" s="80">
        <f t="shared" si="3"/>
        <v>4.4891067861917121E-2</v>
      </c>
    </row>
    <row r="10" spans="1:11" hidden="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4"/>
        <v>5.184539133413256E-2</v>
      </c>
      <c r="H10" s="80">
        <f t="shared" si="1"/>
        <v>4.5048398809523812E-2</v>
      </c>
      <c r="I10" s="58">
        <v>63317619</v>
      </c>
      <c r="J10" s="79">
        <f t="shared" si="5"/>
        <v>5.4219574413426959E-2</v>
      </c>
      <c r="K10" s="80">
        <f t="shared" si="3"/>
        <v>4.7111323660714285E-2</v>
      </c>
    </row>
    <row r="11" spans="1:11" hidden="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4"/>
        <v>4.9958554690571678E-2</v>
      </c>
      <c r="H11" s="80">
        <f t="shared" si="1"/>
        <v>4.4886458951533134E-2</v>
      </c>
      <c r="I11" s="58">
        <v>65487971</v>
      </c>
      <c r="J11" s="79">
        <f t="shared" si="5"/>
        <v>5.1496399308012898E-2</v>
      </c>
      <c r="K11" s="80">
        <f t="shared" si="3"/>
        <v>4.6268172248127737E-2</v>
      </c>
    </row>
    <row r="12" spans="1:11" hidden="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4"/>
        <v>4.9786770833333334E-2</v>
      </c>
      <c r="H12" s="80">
        <f t="shared" si="1"/>
        <v>4.3886285826720009E-2</v>
      </c>
      <c r="I12" s="58">
        <v>67690079</v>
      </c>
      <c r="J12" s="79">
        <f t="shared" si="5"/>
        <v>5.0364642113095236E-2</v>
      </c>
      <c r="K12" s="80">
        <f t="shared" si="3"/>
        <v>4.4395670623729261E-2</v>
      </c>
    </row>
    <row r="13" spans="1:11" hidden="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4"/>
        <v>4.981364773208987E-2</v>
      </c>
      <c r="H13" s="80">
        <f t="shared" si="1"/>
        <v>4.4196224534570297E-2</v>
      </c>
      <c r="I13" s="58">
        <v>68973371</v>
      </c>
      <c r="J13" s="79">
        <f t="shared" si="5"/>
        <v>4.8730656351561395E-2</v>
      </c>
      <c r="K13" s="80">
        <f t="shared" si="3"/>
        <v>4.3235360747194883E-2</v>
      </c>
    </row>
    <row r="14" spans="1:11" hidden="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4"/>
        <v>4.8022126975798517E-2</v>
      </c>
      <c r="H14" s="80">
        <f t="shared" si="1"/>
        <v>4.4763304395671576E-2</v>
      </c>
      <c r="I14" s="58">
        <v>71685956</v>
      </c>
      <c r="J14" s="79">
        <f t="shared" si="5"/>
        <v>4.7016433396733781E-2</v>
      </c>
      <c r="K14" s="80">
        <f t="shared" si="3"/>
        <v>4.382585804242832E-2</v>
      </c>
    </row>
    <row r="15" spans="1:11" hidden="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4"/>
        <v>4.6257508932489186E-2</v>
      </c>
      <c r="H15" s="80">
        <f t="shared" si="1"/>
        <v>4.2687918088737203E-2</v>
      </c>
      <c r="I15" s="58">
        <v>72851289</v>
      </c>
      <c r="J15" s="79">
        <f t="shared" si="5"/>
        <v>4.5666200087757791E-2</v>
      </c>
      <c r="K15" s="80">
        <f t="shared" si="3"/>
        <v>4.2142239254931449E-2</v>
      </c>
    </row>
    <row r="16" spans="1:11" hidden="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4"/>
        <v>4.5693714617594916E-2</v>
      </c>
      <c r="H16" s="80">
        <f t="shared" si="1"/>
        <v>4.1761864558305863E-2</v>
      </c>
      <c r="I16" s="58">
        <v>77176920</v>
      </c>
      <c r="J16" s="79">
        <f t="shared" si="5"/>
        <v>4.7182808583481076E-2</v>
      </c>
      <c r="K16" s="80">
        <f t="shared" si="3"/>
        <v>4.3122825054478404E-2</v>
      </c>
    </row>
    <row r="17" spans="1:11" hidden="1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4"/>
        <v>4.6165652802684101E-2</v>
      </c>
      <c r="H17" s="80">
        <f t="shared" si="1"/>
        <v>4.3110719533275714E-2</v>
      </c>
      <c r="I17" s="58">
        <v>80941181</v>
      </c>
      <c r="J17" s="79">
        <f t="shared" si="5"/>
        <v>4.682199398391855E-2</v>
      </c>
      <c r="K17" s="80">
        <f t="shared" si="3"/>
        <v>4.3723628457216938E-2</v>
      </c>
    </row>
    <row r="18" spans="1:11" hidden="1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4"/>
        <v>4.7286541319774264E-2</v>
      </c>
      <c r="H18" s="80">
        <f t="shared" si="1"/>
        <v>4.2696495131426267E-2</v>
      </c>
      <c r="I18" s="58">
        <v>87584176</v>
      </c>
      <c r="J18" s="79">
        <f t="shared" si="5"/>
        <v>4.8937909146784378E-2</v>
      </c>
      <c r="K18" s="80">
        <f t="shared" si="3"/>
        <v>4.4187566722163361E-2</v>
      </c>
    </row>
    <row r="19" spans="1:11" hidden="1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4"/>
        <v>4.8594978392394121E-2</v>
      </c>
      <c r="H19" s="80">
        <f t="shared" si="1"/>
        <v>4.2519744765325898E-2</v>
      </c>
      <c r="I19" s="58">
        <v>93538330</v>
      </c>
      <c r="J19" s="79">
        <f t="shared" si="5"/>
        <v>5.0528484226447706E-2</v>
      </c>
      <c r="K19" s="80">
        <f t="shared" si="3"/>
        <v>4.4211528099446992E-2</v>
      </c>
    </row>
    <row r="20" spans="1:11">
      <c r="A20" s="75">
        <v>2019</v>
      </c>
      <c r="B20" s="85">
        <v>2273600</v>
      </c>
      <c r="C20" s="78">
        <v>1982100</v>
      </c>
      <c r="D20" s="58">
        <v>96330060</v>
      </c>
      <c r="E20" s="79">
        <v>4.8599999999999997E-2</v>
      </c>
      <c r="F20" s="58">
        <v>97571</v>
      </c>
      <c r="G20" s="79">
        <f t="shared" si="4"/>
        <v>4.9226073356541042E-2</v>
      </c>
      <c r="H20" s="80">
        <f t="shared" si="1"/>
        <v>4.2914760731878956E-2</v>
      </c>
      <c r="I20" s="58">
        <v>102617</v>
      </c>
      <c r="J20" s="79">
        <f t="shared" si="5"/>
        <v>5.1771858130265878E-2</v>
      </c>
      <c r="K20" s="80">
        <f t="shared" si="3"/>
        <v>4.5134148486980996E-2</v>
      </c>
    </row>
    <row r="21" spans="1:11">
      <c r="A21" s="75">
        <v>2020</v>
      </c>
      <c r="B21" s="85">
        <v>2323900</v>
      </c>
      <c r="C21" s="78">
        <v>2115700</v>
      </c>
      <c r="D21" s="58">
        <v>106419710</v>
      </c>
      <c r="E21" s="79">
        <v>5.0299999999999997E-2</v>
      </c>
      <c r="F21" s="58">
        <v>107820</v>
      </c>
      <c r="G21" s="79">
        <f t="shared" si="4"/>
        <v>5.0961856595925697E-2</v>
      </c>
      <c r="H21" s="80">
        <f t="shared" si="1"/>
        <v>4.6396144412410176E-2</v>
      </c>
      <c r="I21" s="81">
        <v>116307</v>
      </c>
      <c r="J21" s="79">
        <f t="shared" si="5"/>
        <v>5.4973294890579949E-2</v>
      </c>
      <c r="K21" s="80">
        <f t="shared" si="3"/>
        <v>5.0048194844872843E-2</v>
      </c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BG245"/>
  <sheetViews>
    <sheetView zoomScale="85" zoomScaleNormal="85" workbookViewId="0">
      <pane xSplit="2" ySplit="2" topLeftCell="AC3" activePane="bottomRight" state="frozen"/>
      <selection activeCell="B28" sqref="B28"/>
      <selection pane="topRight" activeCell="B28" sqref="B28"/>
      <selection pane="bottomLeft" activeCell="B28" sqref="B28"/>
      <selection pane="bottomRight" activeCell="B28" sqref="B28"/>
    </sheetView>
  </sheetViews>
  <sheetFormatPr defaultColWidth="9.08984375" defaultRowHeight="14.5"/>
  <cols>
    <col min="1" max="1" width="5.6328125" style="26" customWidth="1"/>
    <col min="2" max="2" width="50.54296875" style="1" customWidth="1"/>
    <col min="3" max="3" width="12.08984375" style="6" customWidth="1"/>
    <col min="4" max="4" width="12.08984375" style="8" customWidth="1"/>
    <col min="5" max="5" width="13.90625" style="6" customWidth="1"/>
    <col min="6" max="6" width="13.90625" style="8" customWidth="1"/>
    <col min="7" max="7" width="13.90625" style="6" customWidth="1"/>
    <col min="8" max="8" width="13.90625" style="8" customWidth="1"/>
    <col min="9" max="9" width="13.90625" style="6" customWidth="1"/>
    <col min="10" max="10" width="13.90625" style="8" customWidth="1"/>
    <col min="11" max="11" width="13.90625" style="6" customWidth="1"/>
    <col min="12" max="12" width="13.90625" style="8" customWidth="1"/>
    <col min="13" max="13" width="13.90625" style="6" customWidth="1"/>
    <col min="14" max="14" width="13.90625" style="8" customWidth="1"/>
    <col min="15" max="15" width="13.90625" style="6" customWidth="1"/>
    <col min="16" max="16" width="13.90625" style="8" customWidth="1"/>
    <col min="17" max="17" width="13.90625" style="6" customWidth="1"/>
    <col min="18" max="18" width="13.90625" style="8" customWidth="1"/>
    <col min="19" max="19" width="13.90625" style="6" customWidth="1"/>
    <col min="20" max="20" width="13.90625" style="8" customWidth="1"/>
    <col min="21" max="21" width="13.90625" style="6" customWidth="1"/>
    <col min="22" max="22" width="13.90625" style="8" customWidth="1"/>
    <col min="23" max="23" width="13.90625" style="6" customWidth="1"/>
    <col min="24" max="24" width="13.90625" style="8" customWidth="1"/>
    <col min="25" max="25" width="13.90625" style="6" customWidth="1"/>
    <col min="26" max="26" width="13.90625" style="8" customWidth="1"/>
    <col min="27" max="27" width="13.90625" style="6" customWidth="1"/>
    <col min="28" max="31" width="13.90625" style="8" customWidth="1"/>
    <col min="32" max="32" width="13.90625" style="51" customWidth="1"/>
    <col min="33" max="33" width="13.90625" style="51" bestFit="1" customWidth="1"/>
    <col min="34" max="34" width="13.90625" style="56" bestFit="1" customWidth="1"/>
    <col min="35" max="16384" width="9.08984375" style="1"/>
  </cols>
  <sheetData>
    <row r="1" spans="1:59" s="54" customFormat="1">
      <c r="A1" s="189" t="s">
        <v>19</v>
      </c>
      <c r="B1" s="190" t="s">
        <v>0</v>
      </c>
      <c r="C1" s="187">
        <v>2005</v>
      </c>
      <c r="D1" s="188"/>
      <c r="E1" s="187">
        <v>2006</v>
      </c>
      <c r="F1" s="188"/>
      <c r="G1" s="187">
        <v>2007</v>
      </c>
      <c r="H1" s="188"/>
      <c r="I1" s="187">
        <v>2008</v>
      </c>
      <c r="J1" s="188"/>
      <c r="K1" s="187">
        <v>2009</v>
      </c>
      <c r="L1" s="188"/>
      <c r="M1" s="187">
        <v>2010</v>
      </c>
      <c r="N1" s="188"/>
      <c r="O1" s="187">
        <v>2011</v>
      </c>
      <c r="P1" s="188"/>
      <c r="Q1" s="187">
        <v>2012</v>
      </c>
      <c r="R1" s="188"/>
      <c r="S1" s="187">
        <v>2013</v>
      </c>
      <c r="T1" s="188"/>
      <c r="U1" s="187">
        <v>2014</v>
      </c>
      <c r="V1" s="188"/>
      <c r="W1" s="187">
        <v>2015</v>
      </c>
      <c r="X1" s="188"/>
      <c r="Y1" s="187">
        <v>2016</v>
      </c>
      <c r="Z1" s="188"/>
      <c r="AA1" s="187" t="s">
        <v>17</v>
      </c>
      <c r="AB1" s="188"/>
      <c r="AC1" s="188">
        <v>2018</v>
      </c>
      <c r="AD1" s="188"/>
      <c r="AE1" s="188">
        <v>2019</v>
      </c>
      <c r="AF1" s="188"/>
      <c r="AG1" s="188">
        <v>2020</v>
      </c>
      <c r="AH1" s="188"/>
    </row>
    <row r="2" spans="1:59" s="54" customFormat="1" ht="26">
      <c r="A2" s="189"/>
      <c r="B2" s="190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59" s="20" customFormat="1" ht="26">
      <c r="A3" s="98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59" s="47" customFormat="1" ht="15.5">
      <c r="A4" s="98" t="s">
        <v>21</v>
      </c>
      <c r="B4" s="88" t="s">
        <v>9</v>
      </c>
      <c r="C4" s="89">
        <v>0</v>
      </c>
      <c r="D4" s="89">
        <v>0</v>
      </c>
      <c r="E4" s="89">
        <v>0</v>
      </c>
      <c r="F4" s="89">
        <v>0</v>
      </c>
      <c r="G4" s="89">
        <v>0</v>
      </c>
      <c r="H4" s="89">
        <v>0</v>
      </c>
      <c r="I4" s="89">
        <v>0</v>
      </c>
      <c r="J4" s="89">
        <v>0</v>
      </c>
      <c r="K4" s="89">
        <v>0</v>
      </c>
      <c r="L4" s="89">
        <v>0</v>
      </c>
      <c r="M4" s="89">
        <v>213997</v>
      </c>
      <c r="N4" s="89">
        <v>470650</v>
      </c>
      <c r="O4" s="89">
        <v>439303</v>
      </c>
      <c r="P4" s="89">
        <v>482376</v>
      </c>
      <c r="Q4" s="89">
        <v>339703</v>
      </c>
      <c r="R4" s="89">
        <v>355241</v>
      </c>
      <c r="S4" s="89">
        <v>328845</v>
      </c>
      <c r="T4" s="89">
        <v>516877</v>
      </c>
      <c r="U4" s="89">
        <v>325103</v>
      </c>
      <c r="V4" s="89">
        <v>372061</v>
      </c>
      <c r="W4" s="89">
        <v>377349</v>
      </c>
      <c r="X4" s="89">
        <v>439637</v>
      </c>
      <c r="Y4" s="89">
        <v>300933</v>
      </c>
      <c r="Z4" s="89">
        <v>206990</v>
      </c>
      <c r="AA4" s="89">
        <v>495619</v>
      </c>
      <c r="AB4" s="89">
        <v>417094</v>
      </c>
      <c r="AC4" s="89">
        <v>533485</v>
      </c>
      <c r="AD4" s="89">
        <v>1014277</v>
      </c>
      <c r="AE4" s="89">
        <v>915092</v>
      </c>
      <c r="AF4" s="89">
        <v>820449</v>
      </c>
      <c r="AG4" s="89">
        <v>669991</v>
      </c>
      <c r="AH4" s="89">
        <v>1386207.50673</v>
      </c>
    </row>
    <row r="5" spans="1:59" s="47" customFormat="1" ht="26">
      <c r="A5" s="98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</row>
    <row r="6" spans="1:59" s="47" customFormat="1" ht="45" customHeight="1">
      <c r="A6" s="98" t="s">
        <v>24</v>
      </c>
      <c r="B6" s="88" t="s">
        <v>46</v>
      </c>
      <c r="C6" s="89">
        <v>32640563</v>
      </c>
      <c r="D6" s="89">
        <v>32850882</v>
      </c>
      <c r="E6" s="89">
        <v>34946638</v>
      </c>
      <c r="F6" s="89">
        <v>36670746</v>
      </c>
      <c r="G6" s="89">
        <v>39897085</v>
      </c>
      <c r="H6" s="89">
        <v>40352128</v>
      </c>
      <c r="I6" s="89">
        <v>46062681</v>
      </c>
      <c r="J6" s="89">
        <v>49289545</v>
      </c>
      <c r="K6" s="89">
        <v>54169115</v>
      </c>
      <c r="L6" s="89">
        <v>54574799</v>
      </c>
      <c r="M6" s="89">
        <v>54300698</v>
      </c>
      <c r="N6" s="89">
        <v>56036700</v>
      </c>
      <c r="O6" s="89">
        <v>56772862</v>
      </c>
      <c r="P6" s="89">
        <v>57545771</v>
      </c>
      <c r="Q6" s="89">
        <v>61068349</v>
      </c>
      <c r="R6" s="89">
        <v>59151362</v>
      </c>
      <c r="S6" s="89">
        <v>63157117</v>
      </c>
      <c r="T6" s="89">
        <v>61208506</v>
      </c>
      <c r="U6" s="89">
        <v>63340802</v>
      </c>
      <c r="V6" s="89">
        <v>62570410</v>
      </c>
      <c r="W6" s="89">
        <v>64948039</v>
      </c>
      <c r="X6" s="89">
        <v>66697481</v>
      </c>
      <c r="Y6" s="89">
        <v>69533396</v>
      </c>
      <c r="Z6" s="89">
        <v>69760162</v>
      </c>
      <c r="AA6" s="89">
        <v>73707917</v>
      </c>
      <c r="AB6" s="89">
        <v>74474317</v>
      </c>
      <c r="AC6" s="89">
        <v>78893960</v>
      </c>
      <c r="AD6" s="89">
        <v>78512757</v>
      </c>
      <c r="AE6" s="89">
        <v>84225312</v>
      </c>
      <c r="AF6" s="89">
        <v>86915607</v>
      </c>
      <c r="AG6" s="89">
        <v>93799417</v>
      </c>
      <c r="AH6" s="89">
        <v>100839539.39</v>
      </c>
    </row>
    <row r="7" spans="1:59" s="47" customFormat="1" ht="39">
      <c r="A7" s="98" t="s">
        <v>25</v>
      </c>
      <c r="B7" s="88" t="s">
        <v>5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567583</v>
      </c>
      <c r="L7" s="89">
        <v>567583</v>
      </c>
      <c r="M7" s="89">
        <v>717583</v>
      </c>
      <c r="N7" s="89">
        <v>670357</v>
      </c>
      <c r="O7" s="89">
        <v>717583</v>
      </c>
      <c r="P7" s="89">
        <v>717583</v>
      </c>
      <c r="Q7" s="89">
        <v>717583</v>
      </c>
      <c r="R7" s="89">
        <v>754617</v>
      </c>
      <c r="S7" s="89">
        <v>835329</v>
      </c>
      <c r="T7" s="89">
        <v>835329</v>
      </c>
      <c r="U7" s="89">
        <v>835329</v>
      </c>
      <c r="V7" s="89">
        <v>835329</v>
      </c>
      <c r="W7" s="89">
        <v>835329</v>
      </c>
      <c r="X7" s="89">
        <v>835329</v>
      </c>
      <c r="Y7" s="89">
        <v>835329</v>
      </c>
      <c r="Z7" s="89">
        <v>835329</v>
      </c>
      <c r="AA7" s="89">
        <v>1032721</v>
      </c>
      <c r="AB7" s="89">
        <v>1032721</v>
      </c>
      <c r="AC7" s="89">
        <v>1179019</v>
      </c>
      <c r="AD7" s="89">
        <v>1429019</v>
      </c>
      <c r="AE7" s="89">
        <v>2243053</v>
      </c>
      <c r="AF7" s="89">
        <v>1942864</v>
      </c>
      <c r="AG7" s="89">
        <v>2243053</v>
      </c>
      <c r="AH7" s="89">
        <v>2044646</v>
      </c>
    </row>
    <row r="8" spans="1:59" s="47" customFormat="1" ht="39">
      <c r="A8" s="98" t="s">
        <v>26</v>
      </c>
      <c r="B8" s="88" t="s">
        <v>6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24117</v>
      </c>
      <c r="Y8" s="89">
        <v>48492</v>
      </c>
      <c r="Z8" s="89">
        <v>14274</v>
      </c>
      <c r="AA8" s="89">
        <v>25812</v>
      </c>
      <c r="AB8" s="89">
        <v>43848</v>
      </c>
      <c r="AC8" s="89">
        <v>26148</v>
      </c>
      <c r="AD8" s="89">
        <v>26148</v>
      </c>
      <c r="AE8" s="89">
        <v>50553</v>
      </c>
      <c r="AF8" s="89">
        <v>36785</v>
      </c>
      <c r="AG8" s="89">
        <v>41848</v>
      </c>
      <c r="AH8" s="89">
        <v>41848</v>
      </c>
    </row>
    <row r="9" spans="1:59" s="47" customFormat="1" ht="26">
      <c r="A9" s="98" t="s">
        <v>27</v>
      </c>
      <c r="B9" s="88" t="s">
        <v>7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22340</v>
      </c>
      <c r="P9" s="89">
        <v>89</v>
      </c>
      <c r="Q9" s="89">
        <v>18000</v>
      </c>
      <c r="R9" s="89">
        <v>5375</v>
      </c>
      <c r="S9" s="89">
        <v>13000</v>
      </c>
      <c r="T9" s="89">
        <v>10042</v>
      </c>
      <c r="U9" s="89">
        <v>13000</v>
      </c>
      <c r="V9" s="89">
        <v>9944</v>
      </c>
      <c r="W9" s="89">
        <v>13000</v>
      </c>
      <c r="X9" s="89">
        <v>9671</v>
      </c>
      <c r="Y9" s="89">
        <v>13000</v>
      </c>
      <c r="Z9" s="89">
        <v>9198</v>
      </c>
      <c r="AA9" s="89">
        <v>48000</v>
      </c>
      <c r="AB9" s="89">
        <v>29375</v>
      </c>
      <c r="AC9" s="89">
        <v>88000</v>
      </c>
      <c r="AD9" s="89">
        <v>73758</v>
      </c>
      <c r="AE9" s="89">
        <v>48000</v>
      </c>
      <c r="AF9" s="89">
        <v>35952</v>
      </c>
      <c r="AG9" s="89">
        <v>28073</v>
      </c>
      <c r="AH9" s="89">
        <v>24912</v>
      </c>
    </row>
    <row r="10" spans="1:59" s="47" customFormat="1" ht="52">
      <c r="A10" s="98" t="s">
        <v>36</v>
      </c>
      <c r="B10" s="88" t="s">
        <v>38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  <c r="T10" s="89">
        <v>0</v>
      </c>
      <c r="U10" s="89">
        <v>0</v>
      </c>
      <c r="V10" s="89">
        <v>0</v>
      </c>
      <c r="W10" s="89">
        <v>0</v>
      </c>
      <c r="X10" s="89">
        <v>0</v>
      </c>
      <c r="Y10" s="89">
        <v>0</v>
      </c>
      <c r="Z10" s="89">
        <v>0</v>
      </c>
      <c r="AA10" s="89">
        <v>0</v>
      </c>
      <c r="AB10" s="89">
        <v>0</v>
      </c>
      <c r="AC10" s="89">
        <v>0</v>
      </c>
      <c r="AD10" s="89">
        <v>0</v>
      </c>
      <c r="AE10" s="89">
        <v>0</v>
      </c>
      <c r="AF10" s="89">
        <v>0</v>
      </c>
      <c r="AG10" s="89">
        <v>250000</v>
      </c>
      <c r="AH10" s="89">
        <v>24240</v>
      </c>
    </row>
    <row r="11" spans="1:59" s="47" customFormat="1" ht="26">
      <c r="A11" s="98" t="s">
        <v>37</v>
      </c>
      <c r="B11" s="88" t="s">
        <v>45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279473</v>
      </c>
      <c r="AH11" s="89">
        <v>279473</v>
      </c>
    </row>
    <row r="12" spans="1:59" s="48" customFormat="1" ht="26">
      <c r="A12" s="97"/>
      <c r="B12" s="93" t="s">
        <v>61</v>
      </c>
      <c r="C12" s="94">
        <f t="shared" ref="C12:AH12" si="0">SUM(C3:C11)</f>
        <v>36936000</v>
      </c>
      <c r="D12" s="94">
        <f t="shared" si="0"/>
        <v>37645502</v>
      </c>
      <c r="E12" s="94">
        <f t="shared" si="0"/>
        <v>39575856</v>
      </c>
      <c r="F12" s="94">
        <f t="shared" si="0"/>
        <v>41579189</v>
      </c>
      <c r="G12" s="94">
        <f t="shared" si="0"/>
        <v>45055802</v>
      </c>
      <c r="H12" s="94">
        <f t="shared" si="0"/>
        <v>46860739</v>
      </c>
      <c r="I12" s="94">
        <f t="shared" si="0"/>
        <v>51982706</v>
      </c>
      <c r="J12" s="94">
        <f t="shared" si="0"/>
        <v>57087971</v>
      </c>
      <c r="K12" s="94">
        <f t="shared" si="0"/>
        <v>60545048</v>
      </c>
      <c r="L12" s="94">
        <f t="shared" si="0"/>
        <v>63317619</v>
      </c>
      <c r="M12" s="94">
        <f t="shared" si="0"/>
        <v>62912294</v>
      </c>
      <c r="N12" s="94">
        <f t="shared" si="0"/>
        <v>65487971</v>
      </c>
      <c r="O12" s="94">
        <f t="shared" si="0"/>
        <v>65937420</v>
      </c>
      <c r="P12" s="94">
        <f t="shared" si="0"/>
        <v>67690079</v>
      </c>
      <c r="Q12" s="94">
        <f t="shared" si="0"/>
        <v>70506237</v>
      </c>
      <c r="R12" s="94">
        <f t="shared" si="0"/>
        <v>68973371</v>
      </c>
      <c r="S12" s="94">
        <f t="shared" si="0"/>
        <v>72619337</v>
      </c>
      <c r="T12" s="94">
        <f t="shared" si="0"/>
        <v>71685956</v>
      </c>
      <c r="U12" s="94">
        <f t="shared" si="0"/>
        <v>73389604</v>
      </c>
      <c r="V12" s="94">
        <f t="shared" si="0"/>
        <v>72851289</v>
      </c>
      <c r="W12" s="94">
        <f t="shared" si="0"/>
        <v>74741209</v>
      </c>
      <c r="X12" s="94">
        <f t="shared" si="0"/>
        <v>77176920</v>
      </c>
      <c r="Y12" s="94">
        <f t="shared" si="0"/>
        <v>79806564</v>
      </c>
      <c r="Z12" s="94">
        <f t="shared" si="0"/>
        <v>80941181</v>
      </c>
      <c r="AA12" s="94">
        <f t="shared" si="0"/>
        <v>84628723</v>
      </c>
      <c r="AB12" s="94">
        <f t="shared" si="0"/>
        <v>87584176</v>
      </c>
      <c r="AC12" s="94">
        <f t="shared" si="0"/>
        <v>89959024</v>
      </c>
      <c r="AD12" s="94">
        <f t="shared" si="0"/>
        <v>93538330</v>
      </c>
      <c r="AE12" s="94">
        <f t="shared" si="0"/>
        <v>97571206</v>
      </c>
      <c r="AF12" s="94">
        <f t="shared" si="0"/>
        <v>102617481</v>
      </c>
      <c r="AG12" s="94">
        <f t="shared" si="0"/>
        <v>107813018</v>
      </c>
      <c r="AH12" s="94">
        <f t="shared" si="0"/>
        <v>116306568.39673001</v>
      </c>
    </row>
    <row r="13" spans="1:59" s="20" customFormat="1" ht="15.5">
      <c r="A13" s="97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5">
      <c r="A14" s="97"/>
      <c r="B14" s="93" t="s">
        <v>33</v>
      </c>
      <c r="C14" s="95">
        <f>C12/C13</f>
        <v>4.3663187261357324E-2</v>
      </c>
      <c r="D14" s="95">
        <f t="shared" ref="D14:AH14" si="1">D12/D13</f>
        <v>4.4501911505680142E-2</v>
      </c>
      <c r="E14" s="95">
        <f t="shared" si="1"/>
        <v>4.2415033513314229E-2</v>
      </c>
      <c r="F14" s="95">
        <f t="shared" si="1"/>
        <v>4.4562085906402787E-2</v>
      </c>
      <c r="G14" s="95">
        <f t="shared" si="1"/>
        <v>4.5489407027788885E-2</v>
      </c>
      <c r="H14" s="95">
        <f t="shared" si="1"/>
        <v>4.7311714260329457E-2</v>
      </c>
      <c r="I14" s="95">
        <f t="shared" si="1"/>
        <v>4.8589960591648718E-2</v>
      </c>
      <c r="J14" s="95">
        <f t="shared" si="1"/>
        <v>5.3362021229660203E-2</v>
      </c>
      <c r="K14" s="95">
        <f t="shared" si="1"/>
        <v>5.184539133413256E-2</v>
      </c>
      <c r="L14" s="95">
        <f t="shared" si="1"/>
        <v>5.4219574413426959E-2</v>
      </c>
      <c r="M14" s="95">
        <f t="shared" si="1"/>
        <v>4.9471018321931272E-2</v>
      </c>
      <c r="N14" s="95">
        <f t="shared" si="1"/>
        <v>5.1496399308012898E-2</v>
      </c>
      <c r="O14" s="95">
        <f t="shared" si="1"/>
        <v>4.9060580357142856E-2</v>
      </c>
      <c r="P14" s="95">
        <f t="shared" si="1"/>
        <v>5.0364642113095236E-2</v>
      </c>
      <c r="Q14" s="95">
        <f t="shared" si="1"/>
        <v>4.981364773208987E-2</v>
      </c>
      <c r="R14" s="95">
        <f t="shared" si="1"/>
        <v>4.8730656351561395E-2</v>
      </c>
      <c r="S14" s="95">
        <f t="shared" si="1"/>
        <v>4.7628606939069978E-2</v>
      </c>
      <c r="T14" s="95">
        <f t="shared" si="1"/>
        <v>4.7016433396733781E-2</v>
      </c>
      <c r="U14" s="95">
        <f t="shared" si="1"/>
        <v>4.6003638187174824E-2</v>
      </c>
      <c r="V14" s="95">
        <f t="shared" si="1"/>
        <v>4.5666200087757791E-2</v>
      </c>
      <c r="W14" s="95">
        <f t="shared" si="1"/>
        <v>4.5693714617594916E-2</v>
      </c>
      <c r="X14" s="95">
        <f t="shared" si="1"/>
        <v>4.7182808583481076E-2</v>
      </c>
      <c r="Y14" s="95">
        <f t="shared" si="1"/>
        <v>4.6165652802684101E-2</v>
      </c>
      <c r="Z14" s="95">
        <f t="shared" si="1"/>
        <v>4.682199398391855E-2</v>
      </c>
      <c r="AA14" s="95">
        <f t="shared" si="1"/>
        <v>4.7286541319774264E-2</v>
      </c>
      <c r="AB14" s="95">
        <f t="shared" si="1"/>
        <v>4.8937909146784378E-2</v>
      </c>
      <c r="AC14" s="95">
        <f t="shared" si="1"/>
        <v>4.8594978392394121E-2</v>
      </c>
      <c r="AD14" s="95">
        <f t="shared" si="1"/>
        <v>5.0528484226447706E-2</v>
      </c>
      <c r="AE14" s="95">
        <f t="shared" si="1"/>
        <v>4.9226177286716112E-2</v>
      </c>
      <c r="AF14" s="95">
        <f t="shared" si="1"/>
        <v>5.1772100802179505E-2</v>
      </c>
      <c r="AG14" s="95">
        <f t="shared" si="1"/>
        <v>5.0958556506120904E-2</v>
      </c>
      <c r="AH14" s="95">
        <f t="shared" si="1"/>
        <v>5.4973090890357804E-2</v>
      </c>
    </row>
    <row r="15" spans="1:59" s="50" customFormat="1" ht="1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" thickBot="1">
      <c r="A18" s="52"/>
      <c r="B18" s="46" t="s">
        <v>55</v>
      </c>
      <c r="C18" s="72">
        <f t="shared" ref="C18:AH18" si="2">C12/C16</f>
        <v>4.3663187261357324E-2</v>
      </c>
      <c r="D18" s="72">
        <f t="shared" si="2"/>
        <v>4.4501911505680142E-2</v>
      </c>
      <c r="E18" s="72">
        <f t="shared" si="2"/>
        <v>4.2415033513314229E-2</v>
      </c>
      <c r="F18" s="72">
        <f t="shared" si="2"/>
        <v>4.4562085906402787E-2</v>
      </c>
      <c r="G18" s="72">
        <f t="shared" si="2"/>
        <v>4.5489407027788885E-2</v>
      </c>
      <c r="H18" s="72">
        <f t="shared" si="2"/>
        <v>4.7311714260329457E-2</v>
      </c>
      <c r="I18" s="72">
        <f t="shared" si="2"/>
        <v>4.8589960591648718E-2</v>
      </c>
      <c r="J18" s="72">
        <f t="shared" si="2"/>
        <v>5.3362021229660203E-2</v>
      </c>
      <c r="K18" s="72">
        <f t="shared" si="2"/>
        <v>5.184539133413256E-2</v>
      </c>
      <c r="L18" s="72">
        <f t="shared" si="2"/>
        <v>5.4219574413426959E-2</v>
      </c>
      <c r="M18" s="72">
        <f t="shared" si="2"/>
        <v>4.9471018321931272E-2</v>
      </c>
      <c r="N18" s="72">
        <f t="shared" si="2"/>
        <v>5.1496399308012898E-2</v>
      </c>
      <c r="O18" s="72">
        <f t="shared" si="2"/>
        <v>4.9060580357142856E-2</v>
      </c>
      <c r="P18" s="72">
        <f t="shared" si="2"/>
        <v>5.0364642113095236E-2</v>
      </c>
      <c r="Q18" s="72">
        <f t="shared" si="2"/>
        <v>4.981364773208987E-2</v>
      </c>
      <c r="R18" s="72">
        <f t="shared" si="2"/>
        <v>4.8730656351561395E-2</v>
      </c>
      <c r="S18" s="72">
        <f t="shared" si="2"/>
        <v>4.7628606939069978E-2</v>
      </c>
      <c r="T18" s="72">
        <f t="shared" si="2"/>
        <v>4.7016433396733781E-2</v>
      </c>
      <c r="U18" s="72">
        <f t="shared" si="2"/>
        <v>4.6003638187174824E-2</v>
      </c>
      <c r="V18" s="72">
        <f t="shared" si="2"/>
        <v>4.5666200087757791E-2</v>
      </c>
      <c r="W18" s="72">
        <f t="shared" si="2"/>
        <v>4.5693714617594916E-2</v>
      </c>
      <c r="X18" s="72">
        <f t="shared" si="2"/>
        <v>4.7182808583481076E-2</v>
      </c>
      <c r="Y18" s="72">
        <f t="shared" si="2"/>
        <v>4.6165652802684101E-2</v>
      </c>
      <c r="Z18" s="72">
        <f t="shared" si="2"/>
        <v>4.682199398391855E-2</v>
      </c>
      <c r="AA18" s="72">
        <f t="shared" si="2"/>
        <v>4.7286541319774264E-2</v>
      </c>
      <c r="AB18" s="72">
        <f t="shared" si="2"/>
        <v>4.8937909146784378E-2</v>
      </c>
      <c r="AC18" s="72">
        <f t="shared" si="2"/>
        <v>4.8594978392394121E-2</v>
      </c>
      <c r="AD18" s="72">
        <f t="shared" si="2"/>
        <v>5.0528484226447706E-2</v>
      </c>
      <c r="AE18" s="72">
        <f t="shared" si="2"/>
        <v>4.9226177286716112E-2</v>
      </c>
      <c r="AF18" s="72">
        <f t="shared" si="2"/>
        <v>5.1772100802179505E-2</v>
      </c>
      <c r="AG18" s="72">
        <f t="shared" si="2"/>
        <v>5.0958556506120904E-2</v>
      </c>
      <c r="AH18" s="72">
        <f t="shared" si="2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" thickBot="1">
      <c r="A19" s="52"/>
      <c r="B19" s="46" t="s">
        <v>56</v>
      </c>
      <c r="C19" s="72">
        <f t="shared" ref="C19:AH19" si="3">C12/C17</f>
        <v>3.7291462217860651E-2</v>
      </c>
      <c r="D19" s="72">
        <f t="shared" si="3"/>
        <v>3.8007792275974589E-2</v>
      </c>
      <c r="E19" s="72">
        <f t="shared" si="3"/>
        <v>3.6992866116295764E-2</v>
      </c>
      <c r="F19" s="72">
        <f t="shared" si="3"/>
        <v>3.8865447961533857E-2</v>
      </c>
      <c r="G19" s="72">
        <f t="shared" si="3"/>
        <v>3.8581779414283271E-2</v>
      </c>
      <c r="H19" s="72">
        <f t="shared" si="3"/>
        <v>4.0127366843637609E-2</v>
      </c>
      <c r="I19" s="72">
        <f t="shared" si="3"/>
        <v>4.0876547927970436E-2</v>
      </c>
      <c r="J19" s="72">
        <f t="shared" si="3"/>
        <v>4.4891067861917121E-2</v>
      </c>
      <c r="K19" s="72">
        <f t="shared" si="3"/>
        <v>4.5048398809523812E-2</v>
      </c>
      <c r="L19" s="72">
        <f t="shared" si="3"/>
        <v>4.7111323660714285E-2</v>
      </c>
      <c r="M19" s="72">
        <f t="shared" si="3"/>
        <v>4.444842023456267E-2</v>
      </c>
      <c r="N19" s="72">
        <f t="shared" si="3"/>
        <v>4.6268172248127737E-2</v>
      </c>
      <c r="O19" s="72">
        <f t="shared" si="3"/>
        <v>4.3246159900308258E-2</v>
      </c>
      <c r="P19" s="72">
        <f t="shared" si="3"/>
        <v>4.4395670623729261E-2</v>
      </c>
      <c r="Q19" s="72">
        <f t="shared" si="3"/>
        <v>4.4196224534570297E-2</v>
      </c>
      <c r="R19" s="72">
        <f t="shared" si="3"/>
        <v>4.3235360747194883E-2</v>
      </c>
      <c r="S19" s="72">
        <f t="shared" si="3"/>
        <v>4.4396488964969123E-2</v>
      </c>
      <c r="T19" s="72">
        <f t="shared" si="3"/>
        <v>4.382585804242832E-2</v>
      </c>
      <c r="U19" s="72">
        <f t="shared" si="3"/>
        <v>4.2453637993868226E-2</v>
      </c>
      <c r="V19" s="72">
        <f t="shared" si="3"/>
        <v>4.2142239254931449E-2</v>
      </c>
      <c r="W19" s="72">
        <f t="shared" si="3"/>
        <v>4.1761864558305863E-2</v>
      </c>
      <c r="X19" s="72">
        <f t="shared" si="3"/>
        <v>4.3122825054478404E-2</v>
      </c>
      <c r="Y19" s="72">
        <f t="shared" si="3"/>
        <v>4.3110719533275714E-2</v>
      </c>
      <c r="Z19" s="72">
        <f t="shared" si="3"/>
        <v>4.3723628457216938E-2</v>
      </c>
      <c r="AA19" s="72">
        <f t="shared" si="3"/>
        <v>4.2696495131426267E-2</v>
      </c>
      <c r="AB19" s="72">
        <f t="shared" si="3"/>
        <v>4.4187566722163361E-2</v>
      </c>
      <c r="AC19" s="72">
        <f t="shared" si="3"/>
        <v>4.2519744765325898E-2</v>
      </c>
      <c r="AD19" s="72">
        <f t="shared" si="3"/>
        <v>4.4211528099446992E-2</v>
      </c>
      <c r="AE19" s="72">
        <f t="shared" si="3"/>
        <v>4.2914851337086557E-2</v>
      </c>
      <c r="AF19" s="72">
        <f t="shared" si="3"/>
        <v>4.5134360045742436E-2</v>
      </c>
      <c r="AG19" s="72">
        <f t="shared" si="3"/>
        <v>4.6393139980205687E-2</v>
      </c>
      <c r="AH19" s="72">
        <f t="shared" si="3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mergeCells count="18">
    <mergeCell ref="AG1:AH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I1:J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"/>
  <sheetViews>
    <sheetView workbookViewId="0">
      <selection activeCell="A7" sqref="A7"/>
    </sheetView>
  </sheetViews>
  <sheetFormatPr defaultColWidth="8.90625" defaultRowHeight="14"/>
  <cols>
    <col min="1" max="16384" width="8.90625" style="106"/>
  </cols>
  <sheetData>
    <row r="1" spans="1:3">
      <c r="A1" s="131" t="s">
        <v>115</v>
      </c>
      <c r="B1" s="131"/>
      <c r="C1" s="131"/>
    </row>
    <row r="2" spans="1:3">
      <c r="A2" s="132" t="s">
        <v>126</v>
      </c>
      <c r="B2" s="131"/>
      <c r="C2" s="131"/>
    </row>
    <row r="3" spans="1:3">
      <c r="A3" s="132" t="s">
        <v>169</v>
      </c>
      <c r="B3" s="131"/>
      <c r="C3" s="131"/>
    </row>
    <row r="4" spans="1:3">
      <c r="A4" s="132" t="s">
        <v>125</v>
      </c>
      <c r="B4" s="131"/>
      <c r="C4" s="131"/>
    </row>
    <row r="5" spans="1:3">
      <c r="A5" s="132" t="s">
        <v>124</v>
      </c>
      <c r="B5" s="131"/>
      <c r="C5" s="131"/>
    </row>
    <row r="6" spans="1:3" ht="14.5">
      <c r="A6" s="133" t="s">
        <v>170</v>
      </c>
      <c r="B6" s="131"/>
      <c r="C6" s="131"/>
    </row>
    <row r="7" spans="1:3">
      <c r="A7" s="132" t="s">
        <v>120</v>
      </c>
      <c r="B7" s="131"/>
      <c r="C7" s="131"/>
    </row>
    <row r="8" spans="1:3">
      <c r="A8" s="131"/>
      <c r="B8" s="131"/>
      <c r="C8" s="131"/>
    </row>
  </sheetData>
  <hyperlinks>
    <hyperlink ref="A2" location="T.1!A1" display="Tabl. 1. Wydatki bieżące na ochronę zdrowia (według Narodowego Rachunku Zdrowia)" xr:uid="{00000000-0004-0000-0700-000000000000}"/>
    <hyperlink ref="A5" location="T.4!A1" display="Tabl. 4. Wydatki bieżące na ochronę zdrowia według dostawców dóbr i usług  (na podstawie Narodowego Rachunku Zdrowia)" xr:uid="{00000000-0004-0000-0700-000001000000}"/>
    <hyperlink ref="A7" location="T.6!A1" display="T.6!A1" xr:uid="{00000000-0004-0000-0700-000002000000}"/>
    <hyperlink ref="A6" location="T.5!A1" display="Tabl. 5. Wydatki bieżące na ochronę zdrowia według przychodów systemów finansowania (na podstawie Narodowego Rachunku Zdrowia)" xr:uid="{00000000-0004-0000-0700-000003000000}"/>
    <hyperlink ref="A4" location="T.3!A1" display="Tabl. 3. Wydatki bieżące na ochronę zdrowia według funkcji  (na podstawie Narodowego Rachunku Zdrowia)" xr:uid="{00000000-0004-0000-0700-000004000000}"/>
    <hyperlink ref="A3" location="T.2!A1" display="Tabl. 2. Wydatki bieżące na ochronę zdrowia według systemów finansowania (na podstawie Narodowego Rachunku Zdrowia)" xr:uid="{00000000-0004-0000-0700-000005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3"/>
  <sheetViews>
    <sheetView zoomScale="110" zoomScaleNormal="110" workbookViewId="0">
      <selection activeCell="A20" sqref="A20"/>
    </sheetView>
  </sheetViews>
  <sheetFormatPr defaultColWidth="9.08984375" defaultRowHeight="11.5"/>
  <cols>
    <col min="1" max="1" width="9.36328125" style="101" bestFit="1" customWidth="1"/>
    <col min="2" max="2" width="10" style="101" bestFit="1" customWidth="1"/>
    <col min="3" max="3" width="8.90625" style="101" customWidth="1"/>
    <col min="4" max="4" width="8.90625" style="101" bestFit="1" customWidth="1"/>
    <col min="5" max="5" width="11.453125" style="101" customWidth="1"/>
    <col min="6" max="6" width="8" style="101" bestFit="1" customWidth="1"/>
    <col min="7" max="7" width="8.6328125" style="101" customWidth="1"/>
    <col min="8" max="8" width="8" style="101" bestFit="1" customWidth="1"/>
    <col min="9" max="9" width="9.453125" style="101" customWidth="1"/>
    <col min="10" max="10" width="9.54296875" style="101" bestFit="1" customWidth="1"/>
    <col min="11" max="16384" width="9.08984375" style="101"/>
  </cols>
  <sheetData>
    <row r="1" spans="1:11" ht="15" customHeight="1">
      <c r="A1" s="107" t="s">
        <v>130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1" ht="15" customHeight="1">
      <c r="A2" s="105"/>
      <c r="B2" s="105"/>
      <c r="C2" s="108"/>
      <c r="D2" s="108"/>
      <c r="E2" s="108"/>
      <c r="F2" s="108"/>
      <c r="G2" s="108"/>
      <c r="H2" s="108"/>
      <c r="I2" s="105"/>
      <c r="J2" s="105"/>
    </row>
    <row r="3" spans="1:11" ht="12">
      <c r="A3" s="197" t="s">
        <v>39</v>
      </c>
      <c r="B3" s="194" t="s">
        <v>113</v>
      </c>
      <c r="C3" s="195"/>
      <c r="D3" s="195"/>
      <c r="E3" s="195"/>
      <c r="F3" s="195"/>
      <c r="G3" s="195"/>
      <c r="H3" s="195"/>
      <c r="I3" s="196"/>
      <c r="J3" s="191" t="s">
        <v>182</v>
      </c>
    </row>
    <row r="4" spans="1:11" ht="54.75" customHeight="1">
      <c r="A4" s="197"/>
      <c r="B4" s="198" t="s">
        <v>68</v>
      </c>
      <c r="C4" s="198"/>
      <c r="D4" s="198" t="s">
        <v>112</v>
      </c>
      <c r="E4" s="198"/>
      <c r="F4" s="198" t="s">
        <v>180</v>
      </c>
      <c r="G4" s="198"/>
      <c r="H4" s="198" t="s">
        <v>135</v>
      </c>
      <c r="I4" s="198"/>
      <c r="J4" s="192"/>
    </row>
    <row r="5" spans="1:11" ht="23.25" customHeight="1">
      <c r="A5" s="197"/>
      <c r="B5" s="155" t="s">
        <v>69</v>
      </c>
      <c r="C5" s="155" t="s">
        <v>70</v>
      </c>
      <c r="D5" s="155" t="s">
        <v>69</v>
      </c>
      <c r="E5" s="155" t="s">
        <v>70</v>
      </c>
      <c r="F5" s="155" t="s">
        <v>69</v>
      </c>
      <c r="G5" s="155" t="s">
        <v>70</v>
      </c>
      <c r="H5" s="155" t="s">
        <v>69</v>
      </c>
      <c r="I5" s="155" t="s">
        <v>70</v>
      </c>
      <c r="J5" s="193"/>
    </row>
    <row r="6" spans="1:11" ht="12">
      <c r="A6" s="156"/>
      <c r="B6" s="156"/>
      <c r="C6" s="156"/>
      <c r="D6" s="156"/>
      <c r="E6" s="156"/>
      <c r="F6" s="156"/>
      <c r="G6" s="156"/>
      <c r="H6" s="156"/>
      <c r="I6" s="156"/>
      <c r="J6" s="157"/>
    </row>
    <row r="7" spans="1:11" ht="12">
      <c r="A7" s="111">
        <v>2013</v>
      </c>
      <c r="B7" s="135">
        <v>105635.11200000001</v>
      </c>
      <c r="C7" s="158">
        <f>B7/$J7*100</f>
        <v>6.4801807958403224</v>
      </c>
      <c r="D7" s="135">
        <v>74639.14</v>
      </c>
      <c r="E7" s="158">
        <f>D7/$J7*100</f>
        <v>4.5787344045797687</v>
      </c>
      <c r="F7" s="135">
        <v>6018.1120000000001</v>
      </c>
      <c r="G7" s="158">
        <f t="shared" ref="G7:G15" si="0">F7/$J7*100</f>
        <v>0.36918078725202841</v>
      </c>
      <c r="H7" s="135">
        <v>24977.86</v>
      </c>
      <c r="I7" s="158">
        <f t="shared" ref="I7:I15" si="1">H7/$J7*100</f>
        <v>1.5322656040085245</v>
      </c>
      <c r="J7" s="159">
        <v>1630126</v>
      </c>
    </row>
    <row r="8" spans="1:11" ht="12">
      <c r="A8" s="111">
        <v>2014</v>
      </c>
      <c r="B8" s="135">
        <v>107457.868</v>
      </c>
      <c r="C8" s="158">
        <f t="shared" ref="C8:C15" si="2">B8/$J8*100</f>
        <v>6.3189992425988741</v>
      </c>
      <c r="D8" s="135">
        <v>75928.64899999999</v>
      </c>
      <c r="E8" s="158">
        <f t="shared" ref="E8:E16" si="3">D8/$J8*100</f>
        <v>4.4649413249344914</v>
      </c>
      <c r="F8" s="135">
        <v>6679.0070000000005</v>
      </c>
      <c r="G8" s="158">
        <f t="shared" si="0"/>
        <v>0.39275523477082736</v>
      </c>
      <c r="H8" s="135">
        <v>24850.212</v>
      </c>
      <c r="I8" s="158">
        <f t="shared" si="1"/>
        <v>1.4613026828935545</v>
      </c>
      <c r="J8" s="159">
        <v>1700552</v>
      </c>
    </row>
    <row r="9" spans="1:11" ht="14">
      <c r="A9" s="110" t="s">
        <v>176</v>
      </c>
      <c r="B9" s="135">
        <v>115177.4</v>
      </c>
      <c r="C9" s="158">
        <f t="shared" si="2"/>
        <v>6.4041844433410375</v>
      </c>
      <c r="D9" s="135">
        <v>80329.399999999994</v>
      </c>
      <c r="E9" s="158">
        <f t="shared" si="3"/>
        <v>4.4665385207768153</v>
      </c>
      <c r="F9" s="135">
        <v>8314.1</v>
      </c>
      <c r="G9" s="158">
        <f t="shared" si="0"/>
        <v>0.46228713168018842</v>
      </c>
      <c r="H9" s="135">
        <v>26533.9</v>
      </c>
      <c r="I9" s="158">
        <f t="shared" si="1"/>
        <v>1.4753587908840344</v>
      </c>
      <c r="J9" s="159">
        <v>1798471</v>
      </c>
    </row>
    <row r="10" spans="1:11" ht="14">
      <c r="A10" s="110" t="s">
        <v>141</v>
      </c>
      <c r="B10" s="135">
        <v>121774.1</v>
      </c>
      <c r="C10" s="158">
        <f t="shared" si="2"/>
        <v>6.5709999703216866</v>
      </c>
      <c r="D10" s="135">
        <v>84415</v>
      </c>
      <c r="E10" s="158">
        <f t="shared" si="3"/>
        <v>4.5550816018735114</v>
      </c>
      <c r="F10" s="135">
        <v>9571.9</v>
      </c>
      <c r="G10" s="158">
        <f t="shared" si="0"/>
        <v>0.51650518965791703</v>
      </c>
      <c r="H10" s="135">
        <v>27787.188000000002</v>
      </c>
      <c r="I10" s="158">
        <f t="shared" si="1"/>
        <v>1.4994125312634059</v>
      </c>
      <c r="J10" s="159">
        <v>1853205</v>
      </c>
    </row>
    <row r="11" spans="1:11" ht="12">
      <c r="A11" s="111">
        <v>2017</v>
      </c>
      <c r="B11" s="135">
        <v>130535.814</v>
      </c>
      <c r="C11" s="158">
        <f t="shared" si="2"/>
        <v>6.5834279304859704</v>
      </c>
      <c r="D11" s="135">
        <v>90445.504000000001</v>
      </c>
      <c r="E11" s="158">
        <f t="shared" si="3"/>
        <v>4.5615179388277349</v>
      </c>
      <c r="F11" s="135">
        <v>10411.120000000001</v>
      </c>
      <c r="G11" s="158">
        <f t="shared" si="0"/>
        <v>0.52507320478072872</v>
      </c>
      <c r="H11" s="135">
        <v>29679.19</v>
      </c>
      <c r="I11" s="158">
        <f t="shared" si="1"/>
        <v>1.496836786877507</v>
      </c>
      <c r="J11" s="159">
        <v>1982794</v>
      </c>
    </row>
    <row r="12" spans="1:11" ht="12">
      <c r="A12" s="111">
        <v>2018</v>
      </c>
      <c r="B12" s="135">
        <v>134244.4</v>
      </c>
      <c r="C12" s="158">
        <f t="shared" si="2"/>
        <v>6.3129095332907585</v>
      </c>
      <c r="D12" s="135">
        <v>95977.057000000001</v>
      </c>
      <c r="E12" s="158">
        <f t="shared" si="3"/>
        <v>4.5133687372619686</v>
      </c>
      <c r="F12" s="135">
        <v>10854.191000000001</v>
      </c>
      <c r="G12" s="158">
        <f t="shared" si="0"/>
        <v>0.51042371853171364</v>
      </c>
      <c r="H12" s="135">
        <v>27413.151999999998</v>
      </c>
      <c r="I12" s="158">
        <f t="shared" si="1"/>
        <v>1.2891170774970773</v>
      </c>
      <c r="J12" s="159">
        <v>2126506</v>
      </c>
    </row>
    <row r="13" spans="1:11" ht="12">
      <c r="A13" s="112">
        <v>2019</v>
      </c>
      <c r="B13" s="135">
        <v>147838.53</v>
      </c>
      <c r="C13" s="158">
        <f t="shared" si="2"/>
        <v>6.460085069119752</v>
      </c>
      <c r="D13" s="135">
        <v>106113.92599999999</v>
      </c>
      <c r="E13" s="158">
        <f t="shared" si="3"/>
        <v>4.636849331350076</v>
      </c>
      <c r="F13" s="135">
        <v>12022.687</v>
      </c>
      <c r="G13" s="158">
        <f t="shared" si="0"/>
        <v>0.52535411965608791</v>
      </c>
      <c r="H13" s="135">
        <v>29701.917000000001</v>
      </c>
      <c r="I13" s="158">
        <f t="shared" si="1"/>
        <v>1.2978816181135877</v>
      </c>
      <c r="J13" s="159">
        <v>2288492</v>
      </c>
    </row>
    <row r="14" spans="1:11" ht="12">
      <c r="A14" s="112">
        <v>2020</v>
      </c>
      <c r="B14" s="135">
        <v>151873.50599999999</v>
      </c>
      <c r="C14" s="158">
        <f t="shared" si="2"/>
        <v>6.4967842366251558</v>
      </c>
      <c r="D14" s="135">
        <v>109752.72900000001</v>
      </c>
      <c r="E14" s="158">
        <f t="shared" si="3"/>
        <v>4.6949584458384246</v>
      </c>
      <c r="F14" s="135">
        <v>12452.338</v>
      </c>
      <c r="G14" s="158">
        <f t="shared" si="0"/>
        <v>0.53268114602904082</v>
      </c>
      <c r="H14" s="135">
        <v>29668.438999999998</v>
      </c>
      <c r="I14" s="158">
        <f t="shared" si="1"/>
        <v>1.2691446447576904</v>
      </c>
      <c r="J14" s="160">
        <v>2337672</v>
      </c>
    </row>
    <row r="15" spans="1:11" ht="12">
      <c r="A15" s="112">
        <v>2021</v>
      </c>
      <c r="B15" s="135">
        <v>169418.41399999999</v>
      </c>
      <c r="C15" s="158">
        <f t="shared" si="2"/>
        <v>6.4385773278779856</v>
      </c>
      <c r="D15" s="135">
        <v>122767.155</v>
      </c>
      <c r="E15" s="158">
        <f t="shared" si="3"/>
        <v>4.6656429022590338</v>
      </c>
      <c r="F15" s="135">
        <v>13025.976000000001</v>
      </c>
      <c r="G15" s="158">
        <f t="shared" si="0"/>
        <v>0.49503918592392665</v>
      </c>
      <c r="H15" s="135">
        <v>33625.283000000003</v>
      </c>
      <c r="I15" s="158">
        <f t="shared" si="1"/>
        <v>1.2778952396950256</v>
      </c>
      <c r="J15" s="160">
        <v>2631302</v>
      </c>
      <c r="K15" s="103"/>
    </row>
    <row r="16" spans="1:11" ht="14">
      <c r="A16" s="112" t="s">
        <v>177</v>
      </c>
      <c r="B16" s="114">
        <v>196205.1</v>
      </c>
      <c r="C16" s="158">
        <f t="shared" ref="C16" si="4">B16/$J16*100</f>
        <v>6.3810728379555339</v>
      </c>
      <c r="D16" s="135">
        <v>144639.4</v>
      </c>
      <c r="E16" s="158">
        <f t="shared" si="3"/>
        <v>4.7040293378621945</v>
      </c>
      <c r="F16" s="135">
        <v>14602.3</v>
      </c>
      <c r="G16" s="158">
        <f t="shared" ref="G16" si="5">F16/$J16*100</f>
        <v>0.47490274157847118</v>
      </c>
      <c r="H16" s="135">
        <v>36963.4</v>
      </c>
      <c r="I16" s="158">
        <f t="shared" ref="I16" si="6">H16/$J16*100</f>
        <v>1.2021407585148682</v>
      </c>
      <c r="J16" s="160">
        <v>3074798</v>
      </c>
      <c r="K16" s="104"/>
    </row>
    <row r="17" spans="1:11" ht="14">
      <c r="A17" s="112" t="s">
        <v>181</v>
      </c>
      <c r="B17" s="135">
        <v>241617.38</v>
      </c>
      <c r="C17" s="158">
        <f t="shared" ref="C17" si="7">B17/$J17*100</f>
        <v>7.0852690082539205</v>
      </c>
      <c r="D17" s="135">
        <v>197818.2</v>
      </c>
      <c r="E17" s="158">
        <f t="shared" ref="E17" si="8">D17/$J17*100</f>
        <v>5.8008871784330074</v>
      </c>
      <c r="F17" s="135">
        <v>5220.3</v>
      </c>
      <c r="G17" s="158">
        <f t="shared" ref="G17" si="9">F17/$J17*100</f>
        <v>0.15308182633131748</v>
      </c>
      <c r="H17" s="135">
        <v>38578.9</v>
      </c>
      <c r="I17" s="158">
        <f t="shared" ref="I17" si="10">H17/$J17*100</f>
        <v>1.1313005899762971</v>
      </c>
      <c r="J17" s="160">
        <v>3410137</v>
      </c>
      <c r="K17" s="103"/>
    </row>
    <row r="18" spans="1:11" ht="12">
      <c r="A18" s="115"/>
      <c r="B18" s="115"/>
      <c r="C18" s="115"/>
      <c r="D18" s="115"/>
      <c r="E18" s="115"/>
      <c r="F18" s="115"/>
      <c r="G18" s="115"/>
      <c r="H18" s="115"/>
      <c r="I18" s="115"/>
      <c r="J18" s="115"/>
    </row>
    <row r="19" spans="1:11" ht="14">
      <c r="A19" s="115" t="s">
        <v>142</v>
      </c>
      <c r="B19" s="115"/>
      <c r="C19" s="115"/>
      <c r="D19" s="115"/>
      <c r="E19" s="115"/>
      <c r="F19" s="115"/>
      <c r="G19" s="115"/>
      <c r="H19" s="115"/>
      <c r="I19" s="115"/>
      <c r="J19" s="115"/>
    </row>
    <row r="20" spans="1:11" ht="14">
      <c r="A20" s="115" t="s">
        <v>179</v>
      </c>
      <c r="B20" s="115"/>
      <c r="C20" s="115"/>
      <c r="D20" s="115"/>
      <c r="E20" s="115"/>
      <c r="F20" s="115"/>
      <c r="G20" s="115"/>
      <c r="H20" s="115"/>
      <c r="I20" s="115"/>
      <c r="J20" s="115"/>
    </row>
    <row r="21" spans="1:11" ht="14">
      <c r="A21" s="115" t="s">
        <v>143</v>
      </c>
      <c r="B21" s="105"/>
      <c r="C21" s="105"/>
      <c r="D21" s="105"/>
      <c r="E21" s="105"/>
      <c r="F21" s="105"/>
      <c r="G21" s="105"/>
      <c r="H21" s="105"/>
      <c r="I21" s="105"/>
      <c r="J21" s="105"/>
    </row>
    <row r="22" spans="1:11" ht="15" customHeight="1">
      <c r="A22" s="105" t="s">
        <v>144</v>
      </c>
      <c r="B22" s="105"/>
      <c r="C22" s="105"/>
      <c r="D22" s="105"/>
      <c r="E22" s="105"/>
      <c r="F22" s="105"/>
      <c r="G22" s="105"/>
      <c r="H22" s="105"/>
      <c r="I22" s="105"/>
      <c r="J22" s="105"/>
    </row>
    <row r="23" spans="1:11" ht="15" customHeight="1">
      <c r="A23" s="105"/>
      <c r="B23" s="105"/>
      <c r="C23" s="105"/>
      <c r="D23" s="105"/>
      <c r="E23" s="105"/>
      <c r="F23" s="105"/>
      <c r="G23" s="105"/>
      <c r="H23" s="105"/>
      <c r="I23" s="105"/>
      <c r="J23" s="105"/>
    </row>
    <row r="25" spans="1:11" ht="15" customHeight="1"/>
    <row r="26" spans="1:11" ht="15" customHeight="1"/>
    <row r="27" spans="1:11" ht="15" customHeight="1"/>
    <row r="28" spans="1:11" ht="15" customHeight="1"/>
    <row r="32" spans="1:11" ht="15" customHeight="1"/>
    <row r="33" ht="15" customHeight="1"/>
  </sheetData>
  <mergeCells count="7">
    <mergeCell ref="J3:J5"/>
    <mergeCell ref="B3:I3"/>
    <mergeCell ref="A3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Aneks tabelaryczny_Wydatki na ochrone zdrowia w latach 2013-2023.xlsx.xlsx</NazwaPliku>
    <Osoba xmlns="1E9983FF-DC4B-4F4E-A072-0441E2B88E6D">STAT\SalwaU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8545FF1B-78D6-4BF7-9871-006320A77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F88E86-1189-4F0D-BDB4-2F96AC72E6FB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sharepoint/v3"/>
    <ds:schemaRef ds:uri="http://purl.org/dc/dcmitype/"/>
    <ds:schemaRef ds:uri="http://schemas.microsoft.com/office/infopath/2007/PartnerControls"/>
    <ds:schemaRef ds:uri="1E9983FF-DC4B-4F4E-A072-0441E2B88E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6</vt:i4>
      </vt:variant>
    </vt:vector>
  </HeadingPairs>
  <TitlesOfParts>
    <vt:vector size="20" baseType="lpstr">
      <vt:lpstr>Nakłady na ochronę zdrowia</vt:lpstr>
      <vt:lpstr>Nakłady 2009-2020 wykres</vt:lpstr>
      <vt:lpstr>Tabelka szybka</vt:lpstr>
      <vt:lpstr>Porównanie</vt:lpstr>
      <vt:lpstr>tabela</vt:lpstr>
      <vt:lpstr>Tabelka szybka (2)</vt:lpstr>
      <vt:lpstr>Zestawienie do GUS</vt:lpstr>
      <vt:lpstr>Spis tablic</vt:lpstr>
      <vt:lpstr>T.1</vt:lpstr>
      <vt:lpstr>T.2</vt:lpstr>
      <vt:lpstr>T.3</vt:lpstr>
      <vt:lpstr>T.4</vt:lpstr>
      <vt:lpstr>T.5</vt:lpstr>
      <vt:lpstr>T.6</vt:lpstr>
      <vt:lpstr>Porównanie!Obszar_wydruku</vt:lpstr>
      <vt:lpstr>tabela!Obszar_wydruku</vt:lpstr>
      <vt:lpstr>'Zestawienie do GUS'!Obszar_wydruku</vt:lpstr>
      <vt:lpstr>Porównanie!Tytuły_wydruku</vt:lpstr>
      <vt:lpstr>tabela!Tytuły_wydruku</vt:lpstr>
      <vt:lpstr>'Zestawienie do GUS'!Tytuły_wydruku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2022-06-02T12:34:57Z</cp:lastPrinted>
  <dcterms:created xsi:type="dcterms:W3CDTF">2018-09-11T07:57:07Z</dcterms:created>
  <dcterms:modified xsi:type="dcterms:W3CDTF">2024-07-29T14:17:42Z</dcterms:modified>
</cp:coreProperties>
</file>