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mflub01\wydzialy\04 OSB\1. PUBLIKACJE\2019 - Produkcja budowlano-montażowa w 2018 r\"/>
    </mc:Choice>
  </mc:AlternateContent>
  <bookViews>
    <workbookView xWindow="0" yWindow="0" windowWidth="28800" windowHeight="11835" tabRatio="729"/>
  </bookViews>
  <sheets>
    <sheet name="spis treści" sheetId="19" r:id="rId1"/>
    <sheet name="1" sheetId="1" r:id="rId2"/>
    <sheet name="2" sheetId="2" r:id="rId3"/>
    <sheet name="3" sheetId="4" r:id="rId4"/>
    <sheet name="4" sheetId="17" r:id="rId5"/>
    <sheet name="5" sheetId="27" r:id="rId6"/>
    <sheet name="6" sheetId="28" r:id="rId7"/>
    <sheet name="7" sheetId="29" r:id="rId8"/>
    <sheet name="8" sheetId="30" r:id="rId9"/>
    <sheet name="9" sheetId="12" r:id="rId10"/>
    <sheet name="10" sheetId="13" r:id="rId11"/>
    <sheet name="11" sheetId="26" r:id="rId12"/>
  </sheets>
  <definedNames>
    <definedName name="_xlnm._FilterDatabase" localSheetId="11" hidden="1">'11'!$A$5:$D$141</definedName>
    <definedName name="_xlnm._FilterDatabase" localSheetId="4" hidden="1">'4'!$A$6:$H$90</definedName>
    <definedName name="_xlnm.Print_Area" localSheetId="1">'1'!$A$2:$P$20</definedName>
    <definedName name="_xlnm.Print_Area" localSheetId="10">'10'!$A$2:$D$29</definedName>
    <definedName name="_xlnm.Print_Area" localSheetId="11">'11'!$A$2:$D$143</definedName>
    <definedName name="_xlnm.Print_Area" localSheetId="2">'2'!$A$2:$F$22</definedName>
    <definedName name="_xlnm.Print_Area" localSheetId="3">'3'!$A$2:$R$24</definedName>
    <definedName name="_xlnm.Print_Area" localSheetId="4">'4'!$A$2:$H$90</definedName>
    <definedName name="_xlnm.Print_Area" localSheetId="5">'5'!$A$2:$P$33</definedName>
    <definedName name="_xlnm.Print_Area" localSheetId="6">'6'!$A$2:$Q$59</definedName>
    <definedName name="_xlnm.Print_Area" localSheetId="7">'7'!$A$2:$P$20</definedName>
    <definedName name="_xlnm.Print_Area" localSheetId="8">'8'!$A$2:$Q$33</definedName>
    <definedName name="_xlnm.Print_Area" localSheetId="9">'9'!$A$2:$J$10</definedName>
    <definedName name="_xlnm.Print_Area" localSheetId="0">'spis treści'!$B$1:$B$12</definedName>
    <definedName name="_xlnm.Print_Titles" localSheetId="1">'1'!$3:$5</definedName>
    <definedName name="_xlnm.Print_Titles" localSheetId="10">'10'!$3:$4</definedName>
    <definedName name="_xlnm.Print_Titles" localSheetId="11">'11'!$3:$4</definedName>
    <definedName name="_xlnm.Print_Titles" localSheetId="2">'2'!$3:$5</definedName>
    <definedName name="_xlnm.Print_Titles" localSheetId="3">'3'!$3:$5</definedName>
    <definedName name="_xlnm.Print_Titles" localSheetId="4">'4'!$3:$5</definedName>
    <definedName name="_xlnm.Print_Titles" localSheetId="5">'5'!$3:$5</definedName>
    <definedName name="_xlnm.Print_Titles" localSheetId="6">'6'!$3:$3</definedName>
    <definedName name="_xlnm.Print_Titles" localSheetId="7">'7'!$3:$5</definedName>
    <definedName name="_xlnm.Print_Titles" localSheetId="8">'8'!$3:$3</definedName>
    <definedName name="_xlnm.Print_Titles" localSheetId="9">'9'!$3:$4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27" l="1"/>
  <c r="C7" i="27"/>
  <c r="D7" i="27"/>
  <c r="E7" i="27"/>
  <c r="G7" i="27"/>
  <c r="H7" i="27"/>
  <c r="I7" i="27"/>
  <c r="J7" i="27"/>
  <c r="F89" i="17" l="1"/>
  <c r="F86" i="17"/>
  <c r="F84" i="17"/>
  <c r="F81" i="17"/>
  <c r="F79" i="17"/>
  <c r="F76" i="17"/>
  <c r="F74" i="17"/>
  <c r="F71" i="17"/>
  <c r="F69" i="17"/>
  <c r="F68" i="17"/>
  <c r="F66" i="17"/>
  <c r="F64" i="17"/>
  <c r="F61" i="17"/>
  <c r="F59" i="17"/>
  <c r="F56" i="17"/>
  <c r="F54" i="17"/>
  <c r="F53" i="17"/>
  <c r="F51" i="17"/>
  <c r="F49" i="17"/>
  <c r="F46" i="17"/>
  <c r="F41" i="17"/>
  <c r="F39" i="17"/>
  <c r="F37" i="17"/>
  <c r="F36" i="17"/>
  <c r="F34" i="17"/>
  <c r="F33" i="17"/>
  <c r="F32" i="17"/>
  <c r="F31" i="17"/>
  <c r="F29" i="17"/>
  <c r="F28" i="17"/>
  <c r="F26" i="17"/>
  <c r="F24" i="17"/>
  <c r="F22" i="17"/>
  <c r="F21" i="17"/>
  <c r="F19" i="17"/>
  <c r="F17" i="17"/>
  <c r="F16" i="17"/>
  <c r="F14" i="17"/>
  <c r="F13" i="17"/>
  <c r="F12" i="17"/>
  <c r="F11" i="17"/>
  <c r="G89" i="17"/>
  <c r="G86" i="17"/>
  <c r="G84" i="17"/>
  <c r="G81" i="17"/>
  <c r="G79" i="17"/>
  <c r="G76" i="17"/>
  <c r="G74" i="17"/>
  <c r="G71" i="17"/>
  <c r="G69" i="17"/>
  <c r="G68" i="17"/>
  <c r="G66" i="17"/>
  <c r="G64" i="17"/>
  <c r="G61" i="17"/>
  <c r="G59" i="17"/>
  <c r="G56" i="17"/>
  <c r="G54" i="17"/>
  <c r="G51" i="17"/>
  <c r="G49" i="17"/>
  <c r="G46" i="17"/>
  <c r="G41" i="17"/>
  <c r="G39" i="17"/>
  <c r="G37" i="17"/>
  <c r="G36" i="17"/>
  <c r="G34" i="17"/>
  <c r="G33" i="17"/>
  <c r="G31" i="17"/>
  <c r="G29" i="17"/>
  <c r="G28" i="17"/>
  <c r="G26" i="17"/>
  <c r="G24" i="17"/>
  <c r="G22" i="17"/>
  <c r="G21" i="17"/>
  <c r="G19" i="17"/>
  <c r="G17" i="17"/>
  <c r="G16" i="17"/>
  <c r="G14" i="17"/>
  <c r="G12" i="17"/>
  <c r="G11" i="17"/>
  <c r="D74" i="17"/>
  <c r="D64" i="17"/>
  <c r="D59" i="17"/>
  <c r="D54" i="17"/>
  <c r="D51" i="17"/>
  <c r="D49" i="17"/>
  <c r="D44" i="17"/>
  <c r="D43" i="17"/>
  <c r="D38" i="17"/>
  <c r="D34" i="17"/>
  <c r="D32" i="17"/>
  <c r="D28" i="17"/>
  <c r="D26" i="17"/>
  <c r="D24" i="17"/>
  <c r="D21" i="17"/>
  <c r="D19" i="17"/>
  <c r="D18" i="17"/>
  <c r="D16" i="17"/>
  <c r="D13" i="17"/>
  <c r="D11" i="17"/>
  <c r="D76" i="17"/>
  <c r="C74" i="17"/>
  <c r="C64" i="17"/>
  <c r="C59" i="17"/>
  <c r="C54" i="17"/>
  <c r="C51" i="17"/>
  <c r="C49" i="17"/>
  <c r="C44" i="17"/>
  <c r="C43" i="17"/>
  <c r="C42" i="17"/>
  <c r="C38" i="17"/>
  <c r="C34" i="17"/>
  <c r="C33" i="17"/>
  <c r="C32" i="17"/>
  <c r="C28" i="17"/>
  <c r="C26" i="17"/>
  <c r="C24" i="17"/>
  <c r="C21" i="17"/>
  <c r="C19" i="17"/>
  <c r="C18" i="17"/>
  <c r="C16" i="17"/>
  <c r="C11" i="17"/>
</calcChain>
</file>

<file path=xl/sharedStrings.xml><?xml version="1.0" encoding="utf-8"?>
<sst xmlns="http://schemas.openxmlformats.org/spreadsheetml/2006/main" count="961" uniqueCount="304">
  <si>
    <t>a</t>
  </si>
  <si>
    <t>b</t>
  </si>
  <si>
    <t>.</t>
  </si>
  <si>
    <t>Mazowieckie</t>
  </si>
  <si>
    <t>Opolskie</t>
  </si>
  <si>
    <t>Podkarpackie</t>
  </si>
  <si>
    <t>Podlaskie</t>
  </si>
  <si>
    <t>Pomorskie</t>
  </si>
  <si>
    <t>Śląskie</t>
  </si>
  <si>
    <t>Świętokrzyskie</t>
  </si>
  <si>
    <t>Warmińsko-mazurskie</t>
  </si>
  <si>
    <t>Wielkopolskie</t>
  </si>
  <si>
    <t>O G Ó Ł E M</t>
  </si>
  <si>
    <t>T O T A L</t>
  </si>
  <si>
    <t xml:space="preserve"> Kujawsko-pomorskie</t>
  </si>
  <si>
    <t xml:space="preserve"> Lubelskie</t>
  </si>
  <si>
    <t xml:space="preserve"> Lubuskie</t>
  </si>
  <si>
    <t xml:space="preserve"> Łódzkie</t>
  </si>
  <si>
    <t>Zachodnio-pomorskie</t>
  </si>
  <si>
    <t xml:space="preserve"> Dolnośląskie </t>
  </si>
  <si>
    <t xml:space="preserve"> Lubelskie </t>
  </si>
  <si>
    <t xml:space="preserve"> Lubuskie </t>
  </si>
  <si>
    <t xml:space="preserve"> Łódzkie </t>
  </si>
  <si>
    <t xml:space="preserve"> Małopolskie</t>
  </si>
  <si>
    <t xml:space="preserve"> Mazowieckie</t>
  </si>
  <si>
    <t xml:space="preserve"> Opolskie</t>
  </si>
  <si>
    <t xml:space="preserve"> Podkarpackie</t>
  </si>
  <si>
    <t xml:space="preserve"> Podlaskie</t>
  </si>
  <si>
    <t xml:space="preserve"> Pomorskie </t>
  </si>
  <si>
    <t xml:space="preserve"> Śląskie </t>
  </si>
  <si>
    <t xml:space="preserve"> Świętokrzyskie </t>
  </si>
  <si>
    <t xml:space="preserve"> Warmińsko-mazurskie </t>
  </si>
  <si>
    <t xml:space="preserve"> Wielkopolskie </t>
  </si>
  <si>
    <t xml:space="preserve"> Zachodniopomorskie</t>
  </si>
  <si>
    <t xml:space="preserve">O G Ó Ł E M </t>
  </si>
  <si>
    <t xml:space="preserve"> Dolnośląskie</t>
  </si>
  <si>
    <t xml:space="preserve">K R A J E </t>
  </si>
  <si>
    <t>C O U N T R I E S</t>
  </si>
  <si>
    <t>Austria</t>
  </si>
  <si>
    <t>Belgia</t>
  </si>
  <si>
    <t>Belgium</t>
  </si>
  <si>
    <t>Czech Republic</t>
  </si>
  <si>
    <t>Dania</t>
  </si>
  <si>
    <t>Denmark</t>
  </si>
  <si>
    <t>Finlandia</t>
  </si>
  <si>
    <t>Finland</t>
  </si>
  <si>
    <t>Francja</t>
  </si>
  <si>
    <t>France</t>
  </si>
  <si>
    <t>Hiszpania</t>
  </si>
  <si>
    <t>Spain</t>
  </si>
  <si>
    <t>Holandia</t>
  </si>
  <si>
    <t>Netherlands</t>
  </si>
  <si>
    <t>Irlandia</t>
  </si>
  <si>
    <t>Ireland</t>
  </si>
  <si>
    <t>Litwa</t>
  </si>
  <si>
    <t>Lithuania</t>
  </si>
  <si>
    <t>Luksemburg</t>
  </si>
  <si>
    <t>Luxembourg</t>
  </si>
  <si>
    <t>Łotwa</t>
  </si>
  <si>
    <t>Latvia</t>
  </si>
  <si>
    <t>Niemcy</t>
  </si>
  <si>
    <t>Germany</t>
  </si>
  <si>
    <t>Norwegia</t>
  </si>
  <si>
    <t>Norway</t>
  </si>
  <si>
    <t>Rumunia</t>
  </si>
  <si>
    <t>Romania</t>
  </si>
  <si>
    <t>Słowacja</t>
  </si>
  <si>
    <t>Slovakia</t>
  </si>
  <si>
    <t>Stany Zjednoczone</t>
  </si>
  <si>
    <t>United States</t>
  </si>
  <si>
    <t>Szwajcaria</t>
  </si>
  <si>
    <t>Switzerland</t>
  </si>
  <si>
    <t>Szwecja</t>
  </si>
  <si>
    <t>Sweden</t>
  </si>
  <si>
    <t>Węgry</t>
  </si>
  <si>
    <t>Hungary</t>
  </si>
  <si>
    <t>Wielka Brytania</t>
  </si>
  <si>
    <t>Włochy</t>
  </si>
  <si>
    <t>Italy</t>
  </si>
  <si>
    <t>Jednostki budowlane</t>
  </si>
  <si>
    <t>Construction entities</t>
  </si>
  <si>
    <t>Jednostki niebudowlane</t>
  </si>
  <si>
    <t>Non-construction entities</t>
  </si>
  <si>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</si>
  <si>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</si>
  <si>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</si>
  <si>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</si>
  <si>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</si>
  <si>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</si>
  <si>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</si>
  <si>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</si>
  <si>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</si>
  <si>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</si>
  <si>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</si>
  <si>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</si>
  <si>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</si>
  <si>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</si>
  <si>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</si>
  <si>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</si>
  <si>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t>
  </si>
  <si>
    <t>DOLNOŚLĄSKIE</t>
  </si>
  <si>
    <t>-</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</si>
  <si>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</si>
  <si>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</si>
  <si>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</si>
  <si>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</si>
  <si>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</si>
  <si>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</si>
  <si>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</si>
  <si>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</si>
  <si>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</si>
  <si>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</si>
  <si>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</si>
  <si>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</si>
  <si>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</si>
  <si>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</si>
  <si>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</si>
  <si>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Ukraina</t>
  </si>
  <si>
    <t>Ukraine</t>
  </si>
  <si>
    <r>
      <t xml:space="preserve">Polska  
</t>
    </r>
    <r>
      <rPr>
        <i/>
        <sz val="10"/>
        <rFont val="Arial"/>
        <family val="2"/>
        <charset val="238"/>
      </rPr>
      <t>Poland</t>
    </r>
  </si>
  <si>
    <r>
      <t xml:space="preserve">Ogółem                               </t>
    </r>
    <r>
      <rPr>
        <i/>
        <sz val="10"/>
        <rFont val="Arial"/>
        <family val="2"/>
        <charset val="238"/>
      </rPr>
      <t>Total</t>
    </r>
  </si>
  <si>
    <r>
      <t xml:space="preserve">WYSZCZEGÓLNIENIE                                                                                       </t>
    </r>
    <r>
      <rPr>
        <i/>
        <sz val="10"/>
        <rFont val="Arial"/>
        <family val="2"/>
        <charset val="238"/>
      </rPr>
      <t>SPECIFICATION</t>
    </r>
  </si>
  <si>
    <r>
      <t xml:space="preserve">Ogółem  </t>
    </r>
    <r>
      <rPr>
        <i/>
        <sz val="10"/>
        <rFont val="Arial"/>
        <family val="2"/>
        <charset val="238"/>
      </rPr>
      <t>Total</t>
    </r>
  </si>
  <si>
    <r>
      <t xml:space="preserve">w % </t>
    </r>
    <r>
      <rPr>
        <i/>
        <sz val="10"/>
        <rFont val="Arial"/>
        <family val="2"/>
        <charset val="238"/>
      </rPr>
      <t xml:space="preserve"> in %</t>
    </r>
  </si>
  <si>
    <r>
      <t xml:space="preserve">Płace bezpośrednie          </t>
    </r>
    <r>
      <rPr>
        <i/>
        <sz val="10"/>
        <rFont val="Arial"/>
        <family val="2"/>
        <charset val="238"/>
      </rPr>
      <t xml:space="preserve"> Direct wages</t>
    </r>
  </si>
  <si>
    <r>
      <t xml:space="preserve">Materiały   bezpośrednie </t>
    </r>
    <r>
      <rPr>
        <i/>
        <sz val="10"/>
        <rFont val="Arial"/>
        <family val="2"/>
        <charset val="238"/>
      </rPr>
      <t>Direct materials</t>
    </r>
  </si>
  <si>
    <r>
      <t xml:space="preserve">Koszty zakupu  </t>
    </r>
    <r>
      <rPr>
        <i/>
        <sz val="10"/>
        <rFont val="Arial"/>
        <family val="2"/>
        <charset val="238"/>
      </rPr>
      <t>Purchase costs</t>
    </r>
  </si>
  <si>
    <r>
      <t xml:space="preserve">Pozostałe koszty bezpośrednie </t>
    </r>
    <r>
      <rPr>
        <i/>
        <sz val="10"/>
        <rFont val="Arial"/>
        <family val="2"/>
        <charset val="238"/>
      </rPr>
      <t xml:space="preserve"> Other direct costs</t>
    </r>
  </si>
  <si>
    <r>
      <t xml:space="preserve">                             Województwa (miejsce wykonywania robót)                                                                                                                                                             </t>
    </r>
    <r>
      <rPr>
        <i/>
        <sz val="10"/>
        <rFont val="Arial"/>
        <family val="2"/>
        <charset val="238"/>
      </rPr>
      <t>Voivodships (work-site location)</t>
    </r>
  </si>
  <si>
    <r>
      <t xml:space="preserve">WYSZCZEGÓLNIENIE
</t>
    </r>
    <r>
      <rPr>
        <i/>
        <sz val="10"/>
        <rFont val="Arial"/>
        <family val="2"/>
        <charset val="238"/>
      </rPr>
      <t>SPECIFICATION</t>
    </r>
  </si>
  <si>
    <t>Czechy</t>
  </si>
  <si>
    <t>Estonia</t>
  </si>
  <si>
    <t>Rosja</t>
  </si>
  <si>
    <t>Słowenia</t>
  </si>
  <si>
    <r>
      <t>Pozostałe kraje</t>
    </r>
    <r>
      <rPr>
        <vertAlign val="superscript"/>
        <sz val="10"/>
        <rFont val="Arial"/>
        <family val="2"/>
        <charset val="238"/>
      </rPr>
      <t>a</t>
    </r>
  </si>
  <si>
    <t>Pozostałe kraje: Austria, Belgia, Czechy, Dania, Estonia, Finlandia, Francja, Luksemburg, Meksyk, Szwajcaria, Szwecja, Wielka Brytania, Wietnam</t>
  </si>
  <si>
    <t>Pozostałe kraje: Austria, Belgia, Dania, Francja,  Holandia, Norwegia, Szwecja, Wielka Brytania</t>
  </si>
  <si>
    <t>Pozostałe kraje: Austria, Belgia, Chorwacja, Czechy, Francja, Niemcy, Słowacja, Szwajcaria, Szwecja, Ukraina</t>
  </si>
  <si>
    <t>Pozostałe kraje: Bahrajn, Estonia, Finlandia, Hiszpania, Irlandia, Islandia, Izrael, Litwa, Luksemburg, Łotwa, Rumunia, Słowacja, Szwajcaria, Turcja, Węgry, Wielka Brytania, Włochy</t>
  </si>
  <si>
    <t>Pozostałe kraje: Armenia, Austria, Belgia, Chorwacja, Czechy, Dania, Estonia, Finlandia, Francja, Gruzja, Hiszpania, Holandia, Irlandia, Luksemburg, Norwegia, Portugalia, Rumunia, Słowacja, Słowenia, Szwajcaria, Szwecja, Węgry, Wielka Brytania</t>
  </si>
  <si>
    <t>Pozostałe kraje: Austria, Belgia, Białoruś, Czechy, Dania, Estonia, Finlandia, Hiszpania, Holandia, Indie, Litwa, Luksemburg, Łotwa, Norwegia, Rumunia, Szwajcaria, Węgry, Włochy</t>
  </si>
  <si>
    <t>Pozostałe kraje: Austria, Czechy, Dania, Finlandia, Francja, Holandia, Kanada, Litwa, Luksemburg, Meksyk, Norwegia, Stany Zjednoczone, Węgry, Wielka Brytania</t>
  </si>
  <si>
    <t>Pozostałe kraje: Białoruś, Brazylia, Estonia, Finlandia, Grecja, Hiszpania, Irlandia, Islandia, Kanada, Kolumbia, Litwa, Luksemburg, Łotwa, Rosja, Rumunia, Serbia, Słowacja, Stany Zjednoczone, Turcja, Ukraina, Węgry, Wielka Brytania, Włochy</t>
  </si>
  <si>
    <t>Pozostałe kraje: Belgia, Dania, Finlandia, Francja, Litwa, Norwegia, Szwecja, Wielka Brytania</t>
  </si>
  <si>
    <t>Pozostałe kraje: Austria, Czechy, Dania, Estonia, Finlandia, Hiszpania, Irlandia, Litwa, Norwegia, Rosja, Rumunia, Słowacja, Słowenia, Szwecja, Wielka Brytania</t>
  </si>
  <si>
    <t>Pozostałe kraje: Belgia, Francja, Holandia, Łotwa, Norwegia</t>
  </si>
  <si>
    <t>Russia</t>
  </si>
  <si>
    <t>Slovenia</t>
  </si>
  <si>
    <r>
      <t>Other countries</t>
    </r>
    <r>
      <rPr>
        <i/>
        <vertAlign val="superscript"/>
        <sz val="10"/>
        <rFont val="Arial"/>
        <family val="2"/>
        <charset val="238"/>
      </rPr>
      <t>a</t>
    </r>
  </si>
  <si>
    <t>Other countries: Belgium, France, Netherlands, Latvia, Norway</t>
  </si>
  <si>
    <t>Other countries: Austria, Belgium, Croatia, Czech Republic, France, Germany, Slovakia, Switzerland, Sweden, Ukraine</t>
  </si>
  <si>
    <t>Pozostałe kraje: Austria, Belgia, Chile, Czechy, Dania, Finlandia, Gwatemala, Kolumbia, Norwegia, Słowacja, Słowenia, Stany Zjednoczone, Szwajcaria, Szwecja, Węgry, Wielka Brytania, Włochy</t>
  </si>
  <si>
    <r>
      <t xml:space="preserve">roboty
o charakterze inwestycyjnym             </t>
    </r>
    <r>
      <rPr>
        <i/>
        <sz val="10"/>
        <rFont val="Arial"/>
        <family val="2"/>
        <charset val="238"/>
      </rPr>
      <t>works with an investment character</t>
    </r>
  </si>
  <si>
    <r>
      <t xml:space="preserve">roboty
o charakterze inwestycyjnym          
</t>
    </r>
    <r>
      <rPr>
        <i/>
        <sz val="10"/>
        <rFont val="Arial"/>
        <family val="2"/>
        <charset val="238"/>
      </rPr>
      <t>works with an investment character</t>
    </r>
  </si>
  <si>
    <t>Pozostałe kraje: Belgia, Czechy, Dania, Finlandia, Hiszpania, Holandia, Irlandia, Norwegia, Rumunia, Węgry, Wielka Brytania, Włochy</t>
  </si>
  <si>
    <t>Pozostałe kraje: Austria, Litwa, Niemcy, Norwegia, Szwajcaria, Wielka Brytania</t>
  </si>
  <si>
    <t>Pozostałe kraje: Austria, Belgia, Bośnia 
i Hercegowina, Bułgaria, Czechy, Dania, Luksemburg, Norwegia, Rumunia, Szwecja, Węgry, Wielka Brytania</t>
  </si>
  <si>
    <r>
      <t xml:space="preserve">Siedziba zarządu                                        
</t>
    </r>
    <r>
      <rPr>
        <i/>
        <sz val="10"/>
        <rFont val="Arial"/>
        <family val="2"/>
        <charset val="238"/>
      </rPr>
      <t>Enterprise head office</t>
    </r>
  </si>
  <si>
    <r>
      <t xml:space="preserve">Miejsce wykonywania robót                      
</t>
    </r>
    <r>
      <rPr>
        <i/>
        <sz val="10"/>
        <rFont val="Arial"/>
        <family val="2"/>
        <charset val="238"/>
      </rPr>
      <t>Work-site location</t>
    </r>
  </si>
  <si>
    <t>United Kingdom</t>
  </si>
  <si>
    <t>Other countries: Austria, Belgium, Chile, Czech Republic, Denmark, Finland, Guatemala, Columbia, Norway, Slovakia, Slovenia, United States, Switzerland, Sweden, Hungary, United Kingdom, Italy</t>
  </si>
  <si>
    <t>Other countries: Austria, Belgium, Czech Republic, Denmark, Estonia, Finland, France, Luxembourg, Mexico, Switzerland, Sweden, United Kingdom, Vietnam</t>
  </si>
  <si>
    <t>Other countries: Austria, Belgium, Denmark, France, Netherlands, Norway, Sweden, United Kingdom</t>
  </si>
  <si>
    <t>Other countries: Bahrain, Estonia, Finland, Spain, Ireland, Iceland, Israel, Lithuania, Luxembourg, Latvia, Romania, Slovakia, Switzerland, Turkey, Hungary, United Kingdom, Italy</t>
  </si>
  <si>
    <t>Pozostałe kraje: Arabia Saudyjska, Białoruś, Bułgaria, Czechy, Egipt, Grecja, Irak, Irlandia, Luksemburg, Łotwa, Norwegia, Portugalia, Republika Południowej Afryki, Rosja, Rumunia, Serbia, Słowenia, Szwajcaria, Ukraina, Węgry</t>
  </si>
  <si>
    <t>Other countries: Armenia, Austria, Belgium, Croatia, Czech Republic, Denmark, Estonia, Finland, France, Georgia, Spain, Netherlands, Ireland, Luxembourg, Norway, Portugal, Romania, Slovakia, Slovenia, Switzerland, Sweden, Hungary, United Kingdom</t>
  </si>
  <si>
    <t>Other countries: Austria, Lithuania, Germany, Norway, Switzerland, United Kingdom</t>
  </si>
  <si>
    <t>Other countries: Belarus, Brazil, Estonia, Finland, Greece, Spain, Ireland, Iceland, Canada, Columbia, Lithuania, Luxembourg, Latvia, Russia, Romania, Serbia, Slovakia, United States, Turkey, Ukraine, Hungary, United Kingdom, Italy</t>
  </si>
  <si>
    <t>Other countries: Austria, Belgium, Bosnia and Herzegovina, Bulgaria, Czech Republic, Denmark, Luxembourg, Norway, Romania, Sweden, Hungary, United Kingdom</t>
  </si>
  <si>
    <t>Other countries: Belgium, Denmark, Finland, France, Lithuania, Norway, Sweden, United Kingdom</t>
  </si>
  <si>
    <t>Other countries: Austria, Czech Republic, Denmark, Estonia, Finland, Spain, Ireland, Lithuania, Norway, Russia, Romania, Slovakia, Slovenia, Sweden, United Kingdom</t>
  </si>
  <si>
    <t>Pozostałe kraje: Arabia Saudyjska, Armenia, Bahrajn, Białoruś, Bośnia i Hercegowina, Brazylia, Bułgaria, Chile, Chorwacja, Egipt, Grecja, Gruzja, Gwatemala, Indie, Irak, Islandia, Izrael, Kanada, Kolumbia, Meksyk, Portugalia, Republika Południowej Afryki, Serbia, Turcja, Wietnam</t>
  </si>
  <si>
    <t>Białoruś</t>
  </si>
  <si>
    <t>Chorwacja</t>
  </si>
  <si>
    <t>Islandia</t>
  </si>
  <si>
    <t>Republika Południowej Afryki</t>
  </si>
  <si>
    <t>Belarus</t>
  </si>
  <si>
    <t>Croatia</t>
  </si>
  <si>
    <t>Iceland</t>
  </si>
  <si>
    <t>Republic of South Africa</t>
  </si>
  <si>
    <r>
      <t xml:space="preserve">roboty o charakterze remontowym 
i pozostałe  
</t>
    </r>
    <r>
      <rPr>
        <i/>
        <sz val="10"/>
        <rFont val="Arial"/>
        <family val="2"/>
        <charset val="238"/>
      </rPr>
      <t>works with a restoration character and other works</t>
    </r>
  </si>
  <si>
    <r>
      <t xml:space="preserve">w tys. zł
</t>
    </r>
    <r>
      <rPr>
        <i/>
        <sz val="10"/>
        <rFont val="Arial"/>
        <family val="2"/>
        <charset val="238"/>
      </rPr>
      <t>in thousand PLN</t>
    </r>
  </si>
  <si>
    <r>
      <t>Koszty nieprodukcyjne</t>
    </r>
    <r>
      <rPr>
        <i/>
        <sz val="10"/>
        <rFont val="Arial"/>
        <family val="2"/>
        <charset val="238"/>
      </rPr>
      <t xml:space="preserve">                             Non-production costs</t>
    </r>
  </si>
  <si>
    <r>
      <t>Sprzęt
i transport   technologiczny O</t>
    </r>
    <r>
      <rPr>
        <i/>
        <sz val="10"/>
        <rFont val="Arial"/>
        <family val="2"/>
        <charset val="238"/>
      </rPr>
      <t>perating equipment and technological transport</t>
    </r>
  </si>
  <si>
    <r>
      <t xml:space="preserve">w tys. zł   
</t>
    </r>
    <r>
      <rPr>
        <i/>
        <sz val="10"/>
        <rFont val="Arial"/>
        <family val="2"/>
        <charset val="238"/>
      </rPr>
      <t>in thousand PLN</t>
    </r>
  </si>
  <si>
    <r>
      <t>Koszty zarządu</t>
    </r>
    <r>
      <rPr>
        <i/>
        <sz val="10"/>
        <rFont val="Arial"/>
        <family val="2"/>
        <charset val="238"/>
      </rPr>
      <t xml:space="preserve">      Costs of management </t>
    </r>
  </si>
  <si>
    <r>
      <t xml:space="preserve">w tys. zł
</t>
    </r>
    <r>
      <rPr>
        <i/>
        <sz val="10"/>
        <color theme="1"/>
        <rFont val="Arial"/>
        <family val="2"/>
        <charset val="238"/>
      </rPr>
      <t xml:space="preserve"> in thousand PLN</t>
    </r>
  </si>
  <si>
    <r>
      <t xml:space="preserve">Ogółem 
</t>
    </r>
    <r>
      <rPr>
        <i/>
        <sz val="10"/>
        <rFont val="Arial"/>
        <family val="2"/>
        <charset val="238"/>
      </rPr>
      <t>Total</t>
    </r>
  </si>
  <si>
    <r>
      <t xml:space="preserve">w tys. zł              
</t>
    </r>
    <r>
      <rPr>
        <i/>
        <sz val="10"/>
        <color theme="1"/>
        <rFont val="Arial"/>
        <family val="2"/>
        <charset val="238"/>
      </rPr>
      <t>in thousand PLN</t>
    </r>
  </si>
  <si>
    <r>
      <t xml:space="preserve">roboty o charakterze inwestycyjnym     
</t>
    </r>
    <r>
      <rPr>
        <i/>
        <sz val="10"/>
        <rFont val="Arial"/>
        <family val="2"/>
        <charset val="238"/>
      </rPr>
      <t>works with an investment character</t>
    </r>
  </si>
  <si>
    <r>
      <t xml:space="preserve">roboty o charakterze remontowym i pozostałe
</t>
    </r>
    <r>
      <rPr>
        <i/>
        <sz val="10"/>
        <rFont val="Arial"/>
        <family val="2"/>
        <charset val="238"/>
      </rPr>
      <t xml:space="preserve"> works with a restoration character and other works</t>
    </r>
  </si>
  <si>
    <r>
      <t xml:space="preserve">                       w tym roboty o charakterze inwestycyjnym
                        o</t>
    </r>
    <r>
      <rPr>
        <i/>
        <sz val="10"/>
        <rFont val="Arial"/>
        <family val="2"/>
        <charset val="238"/>
      </rPr>
      <t>f which works with an investment character</t>
    </r>
  </si>
  <si>
    <r>
      <t xml:space="preserve">Ogółem  
</t>
    </r>
    <r>
      <rPr>
        <i/>
        <sz val="10"/>
        <rFont val="Arial"/>
        <family val="2"/>
        <charset val="238"/>
      </rPr>
      <t>Total</t>
    </r>
  </si>
  <si>
    <r>
      <t xml:space="preserve">roboty o charakterze inwestycyjnym
</t>
    </r>
    <r>
      <rPr>
        <i/>
        <sz val="10"/>
        <rFont val="Arial"/>
        <family val="2"/>
        <charset val="238"/>
      </rPr>
      <t>works with an investment character</t>
    </r>
  </si>
  <si>
    <r>
      <t xml:space="preserve">roboty o charakterze remontowym i pozostałe
</t>
    </r>
    <r>
      <rPr>
        <i/>
        <sz val="10"/>
        <rFont val="Arial"/>
        <family val="2"/>
        <charset val="238"/>
      </rPr>
      <t>works with a restoration character and other works</t>
    </r>
  </si>
  <si>
    <r>
      <t xml:space="preserve"> w tys. zł  
</t>
    </r>
    <r>
      <rPr>
        <i/>
        <sz val="10"/>
        <rFont val="Arial"/>
        <family val="2"/>
        <charset val="238"/>
      </rPr>
      <t>in thousand PLN</t>
    </r>
  </si>
  <si>
    <r>
      <t xml:space="preserve"> w tym roboty o charakterze inwestycyjnym 
  </t>
    </r>
    <r>
      <rPr>
        <i/>
        <sz val="10"/>
        <rFont val="Arial"/>
        <family val="2"/>
        <charset val="238"/>
      </rPr>
      <t>of which works with an investment character</t>
    </r>
  </si>
  <si>
    <r>
      <t xml:space="preserve">Produkcja budowlano-montażowa
</t>
    </r>
    <r>
      <rPr>
        <i/>
        <sz val="10"/>
        <rFont val="Arial"/>
        <family val="2"/>
        <charset val="238"/>
      </rPr>
      <t>Construction and assembly production</t>
    </r>
  </si>
  <si>
    <r>
      <t xml:space="preserve">Przeciętne zatrudnienie             
</t>
    </r>
    <r>
      <rPr>
        <i/>
        <sz val="10"/>
        <rFont val="Arial"/>
        <family val="2"/>
        <charset val="238"/>
      </rPr>
      <t xml:space="preserve">Average paid employment </t>
    </r>
  </si>
  <si>
    <r>
      <rPr>
        <sz val="10"/>
        <rFont val="Arial"/>
        <family val="2"/>
        <charset val="238"/>
      </rPr>
      <t xml:space="preserve">w tys. zł  </t>
    </r>
    <r>
      <rPr>
        <i/>
        <sz val="10"/>
        <rFont val="Arial"/>
        <family val="2"/>
        <charset val="238"/>
      </rPr>
      <t xml:space="preserve">
 in thousand PLN</t>
    </r>
  </si>
  <si>
    <r>
      <rPr>
        <sz val="10"/>
        <rFont val="Arial"/>
        <family val="2"/>
        <charset val="238"/>
      </rPr>
      <t>osoby</t>
    </r>
    <r>
      <rPr>
        <i/>
        <sz val="10"/>
        <rFont val="Arial"/>
        <family val="2"/>
        <charset val="238"/>
      </rPr>
      <t xml:space="preserve">
persons</t>
    </r>
  </si>
  <si>
    <r>
      <t xml:space="preserve">PRODUKCJA BUDOWLANO-MONTAŻOWA WYKONANA POZA GRANICAMI KRAJU ORAZ PRZECIĘTNE ZATRUDNIENIE WEDŁUG KRAJÓW ― MIEJSCA WYKONYWANIA ROBÓT, W JEDNOSTKACH BUDOWLANYCH O LICZBIE PRACUJĄCYCH POWYŻEJ
9 OSÓB W 2018 R.
</t>
    </r>
    <r>
      <rPr>
        <i/>
        <sz val="10"/>
        <rFont val="Arial"/>
        <family val="2"/>
        <charset val="238"/>
      </rPr>
      <t>CONSTRUCTION AND ASSEMBLY PRODUCTION REALIZED OUTSIDE THE TERRITORY OF POLAND AND AVERAGE PAID EMPLOYMENT BY COUNTRIES ― WORK-SITE LOCATION IN CONSTRUCTION ENTITIES WITH MORE THAN 9 PERSONS EMPLOYED IN 2018</t>
    </r>
  </si>
  <si>
    <r>
      <t xml:space="preserve">SPIS TABLIC:
</t>
    </r>
    <r>
      <rPr>
        <i/>
        <sz val="10"/>
        <rFont val="Arial"/>
        <family val="2"/>
        <charset val="238"/>
      </rPr>
      <t>LIST OF TABLES:</t>
    </r>
  </si>
  <si>
    <r>
      <t xml:space="preserve">w  tym:
</t>
    </r>
    <r>
      <rPr>
        <i/>
        <sz val="10"/>
        <rFont val="Arial"/>
        <family val="2"/>
        <charset val="238"/>
      </rPr>
      <t>of which:</t>
    </r>
  </si>
  <si>
    <r>
      <t xml:space="preserve">Roboty budowlane związane ze wznoszeniem budynków
</t>
    </r>
    <r>
      <rPr>
        <i/>
        <sz val="10"/>
        <rFont val="Arial"/>
        <family val="2"/>
        <charset val="238"/>
      </rPr>
      <t>Construction of buildings</t>
    </r>
  </si>
  <si>
    <r>
      <t xml:space="preserve">Roboty związane z budową obiektów inżynierii lądowej i wodnej
</t>
    </r>
    <r>
      <rPr>
        <i/>
        <sz val="10"/>
        <rFont val="Arial"/>
        <family val="2"/>
        <charset val="238"/>
      </rPr>
      <t>Civil engineering works</t>
    </r>
  </si>
  <si>
    <r>
      <t xml:space="preserve">Roboty budowlane specjalistyczne
</t>
    </r>
    <r>
      <rPr>
        <i/>
        <sz val="10"/>
        <rFont val="Arial"/>
        <family val="2"/>
        <charset val="238"/>
      </rPr>
      <t>Specialised construction activities</t>
    </r>
  </si>
  <si>
    <r>
      <t xml:space="preserve">Sektor publiczny
</t>
    </r>
    <r>
      <rPr>
        <i/>
        <sz val="10"/>
        <rFont val="Arial"/>
        <family val="2"/>
        <charset val="238"/>
      </rPr>
      <t>Public sector</t>
    </r>
  </si>
  <si>
    <r>
      <t xml:space="preserve">Sektor prywatny
</t>
    </r>
    <r>
      <rPr>
        <i/>
        <sz val="10"/>
        <rFont val="Arial"/>
        <family val="2"/>
        <charset val="238"/>
      </rPr>
      <t>Private sector</t>
    </r>
  </si>
  <si>
    <r>
      <t xml:space="preserve">WYSZCZEGÓLNIENIE
</t>
    </r>
    <r>
      <rPr>
        <i/>
        <sz val="10"/>
        <color indexed="8"/>
        <rFont val="Arial"/>
        <family val="2"/>
        <charset val="238"/>
      </rPr>
      <t>SPECIFICATION</t>
    </r>
  </si>
  <si>
    <r>
      <t xml:space="preserve">Województwa
(siedziba zarządu przedsiębiorstwa)
</t>
    </r>
    <r>
      <rPr>
        <i/>
        <sz val="10"/>
        <rFont val="Arial"/>
        <family val="2"/>
        <charset val="238"/>
      </rPr>
      <t>Voivodships
(enterprise head office)</t>
    </r>
  </si>
  <si>
    <r>
      <t xml:space="preserve">O G Ó Ł E M 
</t>
    </r>
    <r>
      <rPr>
        <i/>
        <sz val="10"/>
        <rFont val="Arial"/>
        <family val="2"/>
        <charset val="238"/>
      </rPr>
      <t>T O T A L</t>
    </r>
  </si>
  <si>
    <r>
      <t xml:space="preserve">Budynki jednorodzinne
</t>
    </r>
    <r>
      <rPr>
        <i/>
        <sz val="10"/>
        <rFont val="Arial"/>
        <family val="2"/>
        <charset val="238"/>
      </rPr>
      <t>One-dwelling buildings</t>
    </r>
  </si>
  <si>
    <r>
      <t xml:space="preserve">Budynki o dwóch mieszkaniach i wielomieszkaniowe
</t>
    </r>
    <r>
      <rPr>
        <i/>
        <sz val="10"/>
        <rFont val="Arial"/>
        <family val="2"/>
        <charset val="238"/>
      </rPr>
      <t>Two and more dwelling buildings</t>
    </r>
  </si>
  <si>
    <r>
      <t xml:space="preserve">Budynki zbiorowego zamieszkania
</t>
    </r>
    <r>
      <rPr>
        <i/>
        <sz val="10"/>
        <rFont val="Arial"/>
        <family val="2"/>
        <charset val="238"/>
      </rPr>
      <t>Residences for communities</t>
    </r>
  </si>
  <si>
    <r>
      <t xml:space="preserve">Hotele i budynki zakwaterowania turystycznego
</t>
    </r>
    <r>
      <rPr>
        <i/>
        <sz val="10"/>
        <rFont val="Arial"/>
        <family val="2"/>
        <charset val="238"/>
      </rPr>
      <t>Hotels and similar buildings</t>
    </r>
  </si>
  <si>
    <r>
      <t xml:space="preserve">Budynki biurowe
</t>
    </r>
    <r>
      <rPr>
        <i/>
        <sz val="10"/>
        <rFont val="Arial"/>
        <family val="2"/>
        <charset val="238"/>
      </rPr>
      <t>Office buildings</t>
    </r>
  </si>
  <si>
    <r>
      <t xml:space="preserve">Budynki handlowo-usługowe
</t>
    </r>
    <r>
      <rPr>
        <i/>
        <sz val="10"/>
        <rFont val="Arial"/>
        <family val="2"/>
        <charset val="238"/>
      </rPr>
      <t>Wholesale and retail trade buildings</t>
    </r>
  </si>
  <si>
    <r>
      <t xml:space="preserve">Budynki transportu i łączności 
</t>
    </r>
    <r>
      <rPr>
        <i/>
        <sz val="10"/>
        <rFont val="Arial"/>
        <family val="2"/>
        <charset val="238"/>
      </rPr>
      <t>Traffic and communication buildings</t>
    </r>
  </si>
  <si>
    <r>
      <t xml:space="preserve">Budynki przemysłowe i magazynowe
</t>
    </r>
    <r>
      <rPr>
        <i/>
        <sz val="10"/>
        <rFont val="Arial"/>
        <family val="2"/>
        <charset val="238"/>
      </rPr>
      <t>Industrial buildings and warehouses</t>
    </r>
  </si>
  <si>
    <r>
      <t xml:space="preserve">Ogólnodostępne obiekty kulturalne, budynki o charakterze edukacyjnym, budynki szpitali i zakładów opieki medycznej
oraz budynki kultury fizycznej
</t>
    </r>
    <r>
      <rPr>
        <i/>
        <sz val="10"/>
        <rFont val="Arial"/>
        <family val="2"/>
        <charset val="238"/>
      </rPr>
      <t>Buildings for public entertainment, education, hospital
or institutional care and sports halls</t>
    </r>
  </si>
  <si>
    <r>
      <t xml:space="preserve">Pozostałe budynki niemieszkalne
</t>
    </r>
    <r>
      <rPr>
        <i/>
        <sz val="10"/>
        <rFont val="Arial"/>
        <family val="2"/>
        <charset val="238"/>
      </rPr>
      <t>Other non-residential buildings</t>
    </r>
  </si>
  <si>
    <r>
      <t xml:space="preserve">Autostrady, drogi ekspresowe, ulice i drogi pozostałe
</t>
    </r>
    <r>
      <rPr>
        <i/>
        <sz val="10"/>
        <rFont val="Arial"/>
        <family val="2"/>
        <charset val="238"/>
      </rPr>
      <t>Highways, streets and roads</t>
    </r>
  </si>
  <si>
    <r>
      <t xml:space="preserve">Drogi szynowe, drogi kolei napowietrznych lub podwieszanych
</t>
    </r>
    <r>
      <rPr>
        <i/>
        <sz val="10"/>
        <rFont val="Arial"/>
        <family val="2"/>
        <charset val="238"/>
      </rPr>
      <t>Railways, suspension and elevated railways</t>
    </r>
  </si>
  <si>
    <r>
      <t xml:space="preserve">Drogi lotniskowe
</t>
    </r>
    <r>
      <rPr>
        <i/>
        <sz val="10"/>
        <rFont val="Arial"/>
        <family val="2"/>
        <charset val="238"/>
      </rPr>
      <t>Airfield runways</t>
    </r>
  </si>
  <si>
    <r>
      <t xml:space="preserve">Mosty, wiadukty i estakady, tunele i przejścia nadziemne 
i podziemne
</t>
    </r>
    <r>
      <rPr>
        <i/>
        <sz val="10"/>
        <rFont val="Arial"/>
        <family val="2"/>
        <charset val="238"/>
      </rPr>
      <t>Bridges, elevated highways, tunnels and subways</t>
    </r>
  </si>
  <si>
    <r>
      <t xml:space="preserve">Budowle wodne
</t>
    </r>
    <r>
      <rPr>
        <i/>
        <sz val="10"/>
        <rFont val="Arial"/>
        <family val="2"/>
        <charset val="238"/>
      </rPr>
      <t>Harbours, waterways, dams  and other waterworks</t>
    </r>
  </si>
  <si>
    <r>
      <t xml:space="preserve">Rurociągi i linie telekomunikacyjne oraz linie elektroenergetyczne przesyłowe
</t>
    </r>
    <r>
      <rPr>
        <i/>
        <sz val="10"/>
        <rFont val="Arial"/>
        <family val="2"/>
        <charset val="238"/>
      </rPr>
      <t>Long-distance pipelines, communication and electricity
power lines</t>
    </r>
  </si>
  <si>
    <r>
      <t xml:space="preserve">Rurociągi sieci rozdzielczej i linie kablowe rozdzielcze
</t>
    </r>
    <r>
      <rPr>
        <i/>
        <sz val="10"/>
        <rFont val="Arial"/>
        <family val="2"/>
        <charset val="238"/>
      </rPr>
      <t>Local pipelines and cables</t>
    </r>
  </si>
  <si>
    <r>
      <t xml:space="preserve">w tym oczyszczalnie wód i ścieków
</t>
    </r>
    <r>
      <rPr>
        <i/>
        <sz val="10"/>
        <rFont val="Arial"/>
        <family val="2"/>
        <charset val="238"/>
      </rPr>
      <t>of which waste water treatment plants</t>
    </r>
  </si>
  <si>
    <r>
      <t xml:space="preserve">Kompleksowe budowle na terenach przemysłowych
</t>
    </r>
    <r>
      <rPr>
        <i/>
        <sz val="10"/>
        <rFont val="Arial"/>
        <family val="2"/>
        <charset val="238"/>
      </rPr>
      <t>Complex constructions on industrial sites</t>
    </r>
  </si>
  <si>
    <r>
      <t xml:space="preserve">Budowle sportowe i rekreacyjne
</t>
    </r>
    <r>
      <rPr>
        <i/>
        <sz val="10"/>
        <rFont val="Arial"/>
        <family val="2"/>
        <charset val="238"/>
      </rPr>
      <t>Sports and recreation constructions</t>
    </r>
  </si>
  <si>
    <r>
      <t xml:space="preserve">Obiekty pozostałe, gdzie indziej niesklasyfikowane
</t>
    </r>
    <r>
      <rPr>
        <i/>
        <sz val="10"/>
        <rFont val="Arial"/>
        <family val="2"/>
        <charset val="238"/>
      </rPr>
      <t>Other civil engineering works not elsewhere classified</t>
    </r>
  </si>
  <si>
    <r>
      <t xml:space="preserve"># dane nie mogą być opublikowane ze względu na konieczność zachowania tajemnicy statystycznej
# </t>
    </r>
    <r>
      <rPr>
        <i/>
        <sz val="10"/>
        <color theme="1"/>
        <rFont val="Arial"/>
        <family val="2"/>
        <charset val="238"/>
      </rPr>
      <t xml:space="preserve">data must not be published due to the necessity of maintaining statistical confidentiality </t>
    </r>
  </si>
  <si>
    <r>
      <t xml:space="preserve">RODZAJE OBIEKTÓW BUDOWLANYCH WEDŁUG PKOB
</t>
    </r>
    <r>
      <rPr>
        <i/>
        <sz val="10"/>
        <rFont val="Arial"/>
        <family val="2"/>
        <charset val="238"/>
      </rPr>
      <t xml:space="preserve">TYPES OF CONSTRUCTIONS ACCORDING TO PKOB   </t>
    </r>
    <r>
      <rPr>
        <sz val="10"/>
        <rFont val="Arial"/>
        <family val="2"/>
        <charset val="238"/>
      </rPr>
      <t xml:space="preserve">    </t>
    </r>
  </si>
  <si>
    <r>
      <t xml:space="preserve">Budynki o dwóch mieszkaniach i wielomieszkaniowe  
</t>
    </r>
    <r>
      <rPr>
        <i/>
        <sz val="10"/>
        <rFont val="Arial"/>
        <family val="2"/>
        <charset val="238"/>
      </rPr>
      <t>Two and more dwelling buildings</t>
    </r>
  </si>
  <si>
    <r>
      <t xml:space="preserve">Budynki transportu i łączności
</t>
    </r>
    <r>
      <rPr>
        <i/>
        <sz val="10"/>
        <rFont val="Arial"/>
        <family val="2"/>
        <charset val="238"/>
      </rPr>
      <t>Traffic and communication buildings</t>
    </r>
  </si>
  <si>
    <r>
      <t xml:space="preserve">Budowle sportowe i rekreacyjne
</t>
    </r>
    <r>
      <rPr>
        <i/>
        <sz val="10"/>
        <rFont val="Arial"/>
        <family val="2"/>
        <charset val="238"/>
      </rPr>
      <t>Sports and recreations constructions</t>
    </r>
  </si>
  <si>
    <r>
      <t xml:space="preserve">Obiekty pozostałe, gdzie indziej niesklasyfikowane
</t>
    </r>
    <r>
      <rPr>
        <i/>
        <sz val="10"/>
        <rFont val="Arial"/>
        <family val="2"/>
        <charset val="238"/>
      </rPr>
      <t>Other civil engineering works  not elsewhere classified</t>
    </r>
  </si>
  <si>
    <r>
      <t xml:space="preserve">Ogólnodostępne obiekty kulturalne, budynki o charakterze edukacyjnym, budynki szpitali i zakładów opieki medycznej
oraz budynki kultury fizycznej
</t>
    </r>
    <r>
      <rPr>
        <i/>
        <sz val="10"/>
        <rFont val="Arial"/>
        <family val="2"/>
        <charset val="238"/>
      </rPr>
      <t>Buildings for public entertainment, education, hospital
 or institutional care and sports halls</t>
    </r>
  </si>
  <si>
    <r>
      <t xml:space="preserve">Mosty, wiadukty i estakady, tunele i przejścia nadziemne
 i podziemne
</t>
    </r>
    <r>
      <rPr>
        <i/>
        <sz val="10"/>
        <rFont val="Arial"/>
        <family val="2"/>
        <charset val="238"/>
      </rPr>
      <t>Bridges, elevated highways, tunnels and subways</t>
    </r>
  </si>
  <si>
    <r>
      <t xml:space="preserve">Rurociągi i linie telekomunikacyjne oraz linie
elektroenergetyczne przesyłowe
</t>
    </r>
    <r>
      <rPr>
        <i/>
        <sz val="10"/>
        <rFont val="Arial"/>
        <family val="2"/>
        <charset val="238"/>
      </rPr>
      <t>Long-distance pipelines, communication and electricity
power lines</t>
    </r>
  </si>
  <si>
    <r>
      <t xml:space="preserve">Mosty, wiadukty i estakady, tunele i przejścia nadziemne
i podziemne
</t>
    </r>
    <r>
      <rPr>
        <i/>
        <sz val="10"/>
        <rFont val="Arial"/>
        <family val="2"/>
        <charset val="238"/>
      </rPr>
      <t>Bridges, elevated highways, tunnels and subways</t>
    </r>
  </si>
  <si>
    <r>
      <t># dane nie mogą być opublikowane ze względu na konieczność zachowania tajemnicy statystycznej
#</t>
    </r>
    <r>
      <rPr>
        <i/>
        <sz val="10"/>
        <color theme="1"/>
        <rFont val="Arial"/>
        <family val="2"/>
        <charset val="238"/>
      </rPr>
      <t xml:space="preserve"> data must not be published due to the necessity of maintaining statistical confidentiality</t>
    </r>
  </si>
  <si>
    <r>
      <t xml:space="preserve">Sektor publiczny
</t>
    </r>
    <r>
      <rPr>
        <i/>
        <sz val="10"/>
        <color indexed="8"/>
        <rFont val="Arial"/>
        <family val="2"/>
        <charset val="238"/>
      </rPr>
      <t>Public sector</t>
    </r>
  </si>
  <si>
    <r>
      <t xml:space="preserve">realizacja projektów budowlanych związanych ze wznoszeniem budynków
</t>
    </r>
    <r>
      <rPr>
        <i/>
        <sz val="10"/>
        <rFont val="Arial"/>
        <family val="2"/>
        <charset val="238"/>
      </rPr>
      <t>development of building projects</t>
    </r>
  </si>
  <si>
    <r>
      <t xml:space="preserve">roboty budowlane związane ze wznoszeniem budynków mieszkalnych i niemieszkalnych
</t>
    </r>
    <r>
      <rPr>
        <i/>
        <sz val="10"/>
        <rFont val="Arial"/>
        <family val="2"/>
        <charset val="238"/>
      </rPr>
      <t>construction of residential and non-residential buildings</t>
    </r>
  </si>
  <si>
    <r>
      <t xml:space="preserve">roboty związane z budową dróg kołowych i szynowych
</t>
    </r>
    <r>
      <rPr>
        <i/>
        <sz val="10"/>
        <rFont val="Arial"/>
        <family val="2"/>
        <charset val="238"/>
      </rPr>
      <t>construction of roads and railways</t>
    </r>
  </si>
  <si>
    <r>
      <t xml:space="preserve">roboty związane z budową rurociągów, linii telekomunikacyjnych
i elektroenergetycznych
</t>
    </r>
    <r>
      <rPr>
        <i/>
        <sz val="10"/>
        <rFont val="Arial"/>
        <family val="2"/>
        <charset val="238"/>
      </rPr>
      <t>construction of utility projects</t>
    </r>
  </si>
  <si>
    <r>
      <t xml:space="preserve">rozbiórka i przygotowanie terenu pod budowę
</t>
    </r>
    <r>
      <rPr>
        <i/>
        <sz val="10"/>
        <rFont val="Arial"/>
        <family val="2"/>
        <charset val="238"/>
      </rPr>
      <t>demolition and site preparation</t>
    </r>
  </si>
  <si>
    <r>
      <t xml:space="preserve">wykonywanie instalacji elektrycznych, wodno-kanalizacyjnych                  i pozostałych instalacji budowlanych
</t>
    </r>
    <r>
      <rPr>
        <i/>
        <sz val="10"/>
        <rFont val="Arial"/>
        <family val="2"/>
        <charset val="238"/>
      </rPr>
      <t>electrical, plumbing and other construction installation activities</t>
    </r>
  </si>
  <si>
    <r>
      <t xml:space="preserve">wykonywanie robót budowlanych wykończeniowych
</t>
    </r>
    <r>
      <rPr>
        <i/>
        <sz val="10"/>
        <rFont val="Arial"/>
        <family val="2"/>
        <charset val="238"/>
      </rPr>
      <t>building completion and finishing</t>
    </r>
  </si>
  <si>
    <r>
      <t xml:space="preserve">pozostałe specjalistyczne roboty budowlane
</t>
    </r>
    <r>
      <rPr>
        <i/>
        <sz val="10"/>
        <rFont val="Arial"/>
        <family val="2"/>
        <charset val="238"/>
      </rPr>
      <t>other specialised construction activities</t>
    </r>
  </si>
  <si>
    <r>
      <t xml:space="preserve">roboty budowlane związane ze wznoszeniem budynków
mieszkalnych i niemieszkalnych
</t>
    </r>
    <r>
      <rPr>
        <i/>
        <sz val="10"/>
        <rFont val="Arial"/>
        <family val="2"/>
        <charset val="238"/>
      </rPr>
      <t>construction of residential and non-residential buildings</t>
    </r>
  </si>
  <si>
    <r>
      <t xml:space="preserve">roboty związane z budową pozostałych obiektów inżynierii
lądowej i wodnej
</t>
    </r>
    <r>
      <rPr>
        <i/>
        <sz val="10"/>
        <rFont val="Arial"/>
        <family val="2"/>
        <charset val="238"/>
      </rPr>
      <t>construction of other civil engineering projects</t>
    </r>
  </si>
  <si>
    <r>
      <t xml:space="preserve">realizacja projektów budowlanych związanych
ze wznoszeniem budynków
</t>
    </r>
    <r>
      <rPr>
        <i/>
        <sz val="10"/>
        <rFont val="Arial"/>
        <family val="2"/>
        <charset val="238"/>
      </rPr>
      <t>development of building projects</t>
    </r>
  </si>
  <si>
    <r>
      <t xml:space="preserve">w tys. zł              
</t>
    </r>
    <r>
      <rPr>
        <i/>
        <sz val="10"/>
        <rFont val="Arial"/>
        <family val="2"/>
        <charset val="238"/>
      </rPr>
      <t>in thousand PLN</t>
    </r>
    <r>
      <rPr>
        <sz val="10"/>
        <rFont val="Arial"/>
        <family val="2"/>
        <charset val="238"/>
      </rPr>
      <t xml:space="preserve">
Ogółem
</t>
    </r>
    <r>
      <rPr>
        <i/>
        <sz val="10"/>
        <rFont val="Arial"/>
        <family val="2"/>
        <charset val="238"/>
      </rPr>
      <t>Total</t>
    </r>
  </si>
  <si>
    <r>
      <t xml:space="preserve">w tys. zł              
</t>
    </r>
    <r>
      <rPr>
        <i/>
        <sz val="10"/>
        <rFont val="Arial"/>
        <family val="2"/>
        <charset val="238"/>
      </rPr>
      <t>in thousand PLN</t>
    </r>
    <r>
      <rPr>
        <i/>
        <sz val="10"/>
        <rFont val="Arial"/>
        <family val="2"/>
        <charset val="238"/>
      </rPr>
      <t xml:space="preserve">
</t>
    </r>
    <r>
      <rPr>
        <sz val="10"/>
        <rFont val="Arial"/>
        <family val="2"/>
        <charset val="238"/>
      </rPr>
      <t>Ogółem</t>
    </r>
    <r>
      <rPr>
        <i/>
        <sz val="10"/>
        <rFont val="Arial"/>
        <family val="2"/>
        <charset val="238"/>
      </rPr>
      <t xml:space="preserve">
Total</t>
    </r>
  </si>
  <si>
    <r>
      <t xml:space="preserve">WYSZCZEGÓLNIENIE
</t>
    </r>
    <r>
      <rPr>
        <i/>
        <sz val="10"/>
        <rFont val="Arial"/>
        <family val="2"/>
        <charset val="238"/>
      </rPr>
      <t xml:space="preserve">SPECIFICATION     </t>
    </r>
  </si>
  <si>
    <r>
      <t xml:space="preserve">Koszty ogólne budowy
</t>
    </r>
    <r>
      <rPr>
        <i/>
        <sz val="10"/>
        <rFont val="Arial"/>
        <family val="2"/>
        <charset val="238"/>
      </rPr>
      <t>General building costs</t>
    </r>
  </si>
  <si>
    <r>
      <t xml:space="preserve">Roboty związane z budową obiektów inżynierii lądowej i wodnej
</t>
    </r>
    <r>
      <rPr>
        <i/>
        <sz val="10"/>
        <rFont val="Arial"/>
        <family val="2"/>
        <charset val="238"/>
      </rPr>
      <t>Civil engineering</t>
    </r>
  </si>
  <si>
    <r>
      <t xml:space="preserve">Produkcja
budowlano-montażowa
</t>
    </r>
    <r>
      <rPr>
        <i/>
        <sz val="10"/>
        <rFont val="Arial"/>
        <family val="2"/>
        <charset val="238"/>
      </rPr>
      <t>Construction and assembly production</t>
    </r>
  </si>
  <si>
    <r>
      <rPr>
        <vertAlign val="superscript"/>
        <sz val="10"/>
        <rFont val="Arial"/>
        <family val="2"/>
        <charset val="238"/>
      </rPr>
      <t xml:space="preserve">a </t>
    </r>
    <r>
      <rPr>
        <sz val="10"/>
        <rFont val="Arial"/>
        <family val="2"/>
        <charset val="238"/>
      </rPr>
      <t xml:space="preserve">Arabia Saudyjska, Armenia, Bahrajn, Bośnia i Hercegowina, Brazylia, Bułgaria, Chile, Chiny, Cypr, Czechy, Egipt, Grecja, Gruzja,
  Gwatemala, Hiszpania, Indie, Irak, Izrael, Kanada, Kolumbia, Kosowo, Luksemburg, Łotwa, Malta, Meksyk, Mołdawia, Portugalia,
  Rosja, Rumunia, Serbia, Sierra Leone, Słowenia, Stany Zjednoczone, Szwajcaria, Turcja, Wielka Brytania, Wietnam, Włochy
</t>
    </r>
    <r>
      <rPr>
        <vertAlign val="superscript"/>
        <sz val="10"/>
        <rFont val="Arial"/>
        <family val="2"/>
        <charset val="238"/>
      </rPr>
      <t>a</t>
    </r>
    <r>
      <rPr>
        <sz val="10"/>
        <rFont val="Arial"/>
        <family val="2"/>
        <charset val="238"/>
      </rPr>
      <t xml:space="preserve"> </t>
    </r>
    <r>
      <rPr>
        <i/>
        <sz val="10"/>
        <rFont val="Arial"/>
        <family val="2"/>
        <charset val="238"/>
      </rPr>
      <t>Saudi Arabia,  Armenia, Bahrain, Bosnia and Herzegovina, Brazil, Bulgaria, Chile, China, Cyprus, Czech Republic, Egypt, Greece,
  Georgia, Guatemala, Spain, India, Iraq, Israel, Canada, Columbia, Kosovo, Luxembourg, Latvia, Malta, Mexico, Moldova, Portugal,
  Russia, Romania, Serbia, Sierra Leone, Slovenia, United States, Switzerland, Turkey, Great Britain, Vietnam, Italy</t>
    </r>
  </si>
  <si>
    <r>
      <t xml:space="preserve">Przeciętne zatrudnienie               
</t>
    </r>
    <r>
      <rPr>
        <i/>
        <sz val="10"/>
        <rFont val="Arial"/>
        <family val="2"/>
        <charset val="238"/>
      </rPr>
      <t>Average paid employment</t>
    </r>
  </si>
  <si>
    <r>
      <t xml:space="preserve">O G Ó Ł E M 
</t>
    </r>
    <r>
      <rPr>
        <b/>
        <i/>
        <sz val="10"/>
        <rFont val="Arial"/>
        <family val="2"/>
        <charset val="238"/>
      </rPr>
      <t>T O T A L</t>
    </r>
  </si>
  <si>
    <r>
      <t xml:space="preserve">Podmioty budowlane
</t>
    </r>
    <r>
      <rPr>
        <b/>
        <i/>
        <sz val="10"/>
        <rFont val="Arial"/>
        <family val="2"/>
        <charset val="238"/>
      </rPr>
      <t>Construction entities</t>
    </r>
  </si>
  <si>
    <r>
      <t xml:space="preserve">P O L S K A
</t>
    </r>
    <r>
      <rPr>
        <b/>
        <i/>
        <sz val="10"/>
        <rFont val="Arial"/>
        <family val="2"/>
        <charset val="238"/>
      </rPr>
      <t>P O L A N D</t>
    </r>
  </si>
  <si>
    <r>
      <t xml:space="preserve">O G Ó Ł E M
</t>
    </r>
    <r>
      <rPr>
        <b/>
        <i/>
        <sz val="10"/>
        <rFont val="Arial"/>
        <family val="2"/>
        <charset val="238"/>
      </rPr>
      <t>T O T A L</t>
    </r>
  </si>
  <si>
    <r>
      <t xml:space="preserve">Budynki
</t>
    </r>
    <r>
      <rPr>
        <b/>
        <i/>
        <sz val="10"/>
        <rFont val="Arial"/>
        <family val="2"/>
        <charset val="238"/>
      </rPr>
      <t>Buildings</t>
    </r>
  </si>
  <si>
    <r>
      <t xml:space="preserve">Budynki mieszkalne
</t>
    </r>
    <r>
      <rPr>
        <b/>
        <i/>
        <sz val="10"/>
        <rFont val="Arial"/>
        <family val="2"/>
        <charset val="238"/>
      </rPr>
      <t>Residential buildings</t>
    </r>
  </si>
  <si>
    <r>
      <t xml:space="preserve">Budynki niemieszkalne
</t>
    </r>
    <r>
      <rPr>
        <b/>
        <i/>
        <sz val="10"/>
        <rFont val="Arial"/>
        <family val="2"/>
        <charset val="238"/>
      </rPr>
      <t>Non-residential buildings</t>
    </r>
  </si>
  <si>
    <r>
      <t xml:space="preserve">Obiekty inżynierii lądowej i wodnej
</t>
    </r>
    <r>
      <rPr>
        <b/>
        <i/>
        <sz val="10"/>
        <rFont val="Arial"/>
        <family val="2"/>
        <charset val="238"/>
      </rPr>
      <t>Civil engineering works</t>
    </r>
  </si>
  <si>
    <r>
      <t xml:space="preserve">Roboty budowlane związane ze wznoszeniem budynków
</t>
    </r>
    <r>
      <rPr>
        <b/>
        <i/>
        <sz val="10"/>
        <rFont val="Arial"/>
        <family val="2"/>
        <charset val="238"/>
      </rPr>
      <t>Construction of buildings</t>
    </r>
  </si>
  <si>
    <r>
      <t xml:space="preserve">Roboty związane z budową obiektów inżynierii lądowej i wodnej
</t>
    </r>
    <r>
      <rPr>
        <b/>
        <i/>
        <sz val="10"/>
        <rFont val="Arial"/>
        <family val="2"/>
        <charset val="238"/>
      </rPr>
      <t>Civil engineering works</t>
    </r>
  </si>
  <si>
    <r>
      <t xml:space="preserve">Roboty budowlane specjalistyczne
</t>
    </r>
    <r>
      <rPr>
        <b/>
        <i/>
        <sz val="10"/>
        <color indexed="8"/>
        <rFont val="Arial"/>
        <family val="2"/>
        <charset val="238"/>
      </rPr>
      <t>Specialised construction activities</t>
    </r>
  </si>
  <si>
    <t>Other countries:Saudi Arabia, Armenia,
Bahrain, Belarus, Bosnia and Herzegovina,
Brazil, Bulgaria, Chile, Croatia, Egypt, Greece,
Georgia, Guatemala, India, Iraq, Iceland,
Israel, Canada, Columbia, Mexico, Portugal,
Republic of South Africa, Serbia, Turkey,
Vietnam</t>
  </si>
  <si>
    <t>Other countries: Belgium, Czech Republic,
Denmark, Finland, Spain, Netherlands,
Ireland, Norway, Romania, Hungary,
United Kingdom, Italy</t>
  </si>
  <si>
    <t>Other countries: Saudi Arabia, Belarus,
Bulgaria, Czech Republic, Egypt, Greece, Iraq,
Ireland, Luxembourg, Latvia, Norway,
Portugal, Republic of South Africa, Russia,
Romania, Serbia, Slovenia, Switzerland,
Ukraine, Hungary</t>
  </si>
  <si>
    <t>Other countries: Austria, Belgium, Belarus,
Czech Republic, Denmark, Estonia, Finland,
Spain, Netherlands, India, Lithuania,
Luxembourg, Latvia, Norway, Romania,
Switzerland, Hungary, Italy</t>
  </si>
  <si>
    <t>Other countries: Austria, Czech Republic,
Denmark, Finland, France, Netherlands,
Canada, Lithuania, Luxembourg, Mexico,
Norway, United States, Hungary,
United Kingdom</t>
  </si>
  <si>
    <r>
      <t xml:space="preserve">TABL. 3. PRODUKCJA BUDOWLANO-MONTAŻOWA WEDŁUG WOJEWÓDZTW ― SIEDZIBY ZARZĄDU PRZEDSIĘBIORSTWA I MIEJSCA WYKONYWANIA ROBÓT W JEDNOSTKACH BUDOWLANYCH O LICZBIE PRACUJĄCYCH POWYŻEJ 9 OSÓB W 2018 R.
                </t>
    </r>
    <r>
      <rPr>
        <i/>
        <sz val="10"/>
        <color theme="1"/>
        <rFont val="Arial"/>
        <family val="2"/>
        <charset val="238"/>
      </rPr>
      <t>CONSTRUCTION AND ASSEMBLY PRODUCTION BY VOIVODSHIPS ― ENTERPRISE HEAD OFFICE AND WORK-SITE LOCATION IN CONSTRUCTION ENTITIES WITH MORE THAN 9 PERSONS EMPLOYED IN 2018</t>
    </r>
  </si>
  <si>
    <r>
      <t xml:space="preserve">TABL. 11. PRODUKCJA BUDOWLANO-MONTAŻOWA WYKONANA POZA GRANICAMI KRAJU ORAZ PRZECIĘTNE ZATRUDNIENIE WEDŁUG KRAJÓW
                  ― MIEJSCA WYKONYWANIA ROBÓT, W JEDNOSTKACH BUDOWLANYCH O LICZBIE PRACUJĄCYCH POWYŻEJ 9 OSÓB W 2018 R.
                  </t>
    </r>
    <r>
      <rPr>
        <i/>
        <sz val="10"/>
        <rFont val="Arial"/>
        <family val="2"/>
        <charset val="238"/>
      </rPr>
      <t>CONSTRUCTION AND ASSEMBLY PRODUCTION REALIZED OUTSIDE THE TERRITORY OF POLAND AND AVERAGE PAID EMPLOYMENT
                  BY COUNTRIES — WORK-SITE LOCATION IN CONSTRUCTION ENTITIES WITH MORE THAN 9 PERSONS EMPLOYED IN 2018</t>
    </r>
  </si>
  <si>
    <r>
      <t xml:space="preserve">PRODUKCJA BUDOWLANO-MONTAŻOWA WYKONANA POZA GRANICAMI KRAJU ORAZ PRZECIĘTNE ZATRUDNIENIE WEDŁUG KRAJÓW ― MIEJSCA WYKONYWANIA ROBÓT, W JEDNOSTKACH BUDOWLANYCH I NIEBUDOWLANYCH O LICZBIE PRACUJĄCYCH POWYŻEJ 9 OSÓB W 2018 R.
</t>
    </r>
    <r>
      <rPr>
        <i/>
        <sz val="10"/>
        <rFont val="Arial"/>
        <family val="2"/>
        <charset val="238"/>
      </rPr>
      <t xml:space="preserve">CONSTRUCTION AND ASSEMBLY PRODUCTION REALIZED OUTSIDE THE TERRITORY OF POLAND AND AVERAGE PAID EMPLOYMENT BY COUNTRIES ― WORK-SITE LOCATION IN CONSTRUCTION AND NON-CONSTRUCTION ENTITIES WITH MORE THAN 9 PERSONS EMPLOYED IN 2018 </t>
    </r>
  </si>
  <si>
    <r>
      <t xml:space="preserve">PRODUKCJA BUDOWLANO-MONTAŻOWA WEDŁUG WOJEWÓDZTW ― SIEDZIBY ZARZĄDU PRZEDSIĘBIORSTWA I MIEJSCA WYKONYWANIA ROBÓT W JEDNOSTKACH BUDOWLANYCH O LICZBIE PRACUJĄCYCH POWYŻEJ 9 OSÓB W 2018 R.
</t>
    </r>
    <r>
      <rPr>
        <i/>
        <sz val="10"/>
        <rFont val="Arial"/>
        <family val="2"/>
        <charset val="238"/>
      </rPr>
      <t>CONSTRUCTION AND ASSEMBLY PRODUCTION BY VOIVODSHIPS ― ENTERPRISE HEAD OFFICE AND WORK-SITE LOCATION IN CONSTRUCTION ENTITIES WITH MORE THAN 9 PERSONS EMPLOYED IN 2018</t>
    </r>
  </si>
  <si>
    <r>
      <t xml:space="preserve">TABL. 10. PRODUKCJA BUDOWLANO-MONTAŻOWA WYKONANA POZA GRANICAMI KRAJU ORAZ PRZECIĘTNE ZATRUDNIENIE WEDŁUG KRAJÓW
                   ― MIEJSCA WYKONYWANIA ROBÓT, W JEDNOSTKACH BUDOWLANYCH I NIEBUDOWLANYCH O LICZBIE PRACUJĄCYCH POWYŻEJ 9 OSÓB W 2018 R.
                   </t>
    </r>
    <r>
      <rPr>
        <i/>
        <sz val="10"/>
        <rFont val="Arial"/>
        <family val="2"/>
        <charset val="238"/>
      </rPr>
      <t>CONSTRUCTION AND ASSEMBLY PRODUCTION REALIZED OUTSIDE THE TERRITORY OF POLAND AND AVERAGE PAID EMPLOYMENT
                   BY COUNTRIES ― WORK-SITE LOCATION IN CONSTRUCTION AND NON-CONSTRUCTION ENTITIES WITH MORE THAN 9 PERSONS EMPLOYED IN 2018</t>
    </r>
  </si>
  <si>
    <r>
      <t xml:space="preserve">                                           WYSZCZEGÓLNIENIE
                                               </t>
    </r>
    <r>
      <rPr>
        <i/>
        <sz val="10"/>
        <rFont val="Arial"/>
        <family val="2"/>
        <charset val="238"/>
      </rPr>
      <t xml:space="preserve">SPECIFICATION
 </t>
    </r>
    <r>
      <rPr>
        <sz val="10"/>
        <rFont val="Arial"/>
        <family val="2"/>
        <charset val="238"/>
      </rPr>
      <t xml:space="preserve">a - wartość (w cenach bieżących) w tys. zł
       </t>
    </r>
    <r>
      <rPr>
        <i/>
        <sz val="10"/>
        <rFont val="Arial"/>
        <family val="2"/>
        <charset val="238"/>
      </rPr>
      <t xml:space="preserve">value (in current prices) in thousand PLN
 </t>
    </r>
    <r>
      <rPr>
        <sz val="10"/>
        <rFont val="Arial"/>
        <family val="2"/>
        <charset val="238"/>
      </rPr>
      <t xml:space="preserve">b - dynamika rok poprzedni = 100 (w cenach stałych)
       </t>
    </r>
    <r>
      <rPr>
        <i/>
        <sz val="10"/>
        <rFont val="Arial"/>
        <family val="2"/>
        <charset val="238"/>
      </rPr>
      <t>index number previous year = 100 (in constant prices)</t>
    </r>
  </si>
  <si>
    <r>
      <t xml:space="preserve">roboty związane z budową pozostałych obiektów inżynierii lądowej
i wodnej
</t>
    </r>
    <r>
      <rPr>
        <i/>
        <sz val="10"/>
        <rFont val="Arial"/>
        <family val="2"/>
        <charset val="238"/>
      </rPr>
      <t>construction of other civil engineering projects</t>
    </r>
  </si>
  <si>
    <r>
      <t xml:space="preserve">wykonywanie instalacji elektrycznych, wodno-kanalizacyjnych
i pozostałych instalacji budowlanych
</t>
    </r>
    <r>
      <rPr>
        <i/>
        <sz val="10"/>
        <rFont val="Arial"/>
        <family val="2"/>
        <charset val="238"/>
      </rPr>
      <t>electrical, plumbing and other construction installation activities</t>
    </r>
  </si>
  <si>
    <r>
      <t xml:space="preserve">TABL. 6. PRODUKCJA BUDOWLANO-MONTAŻOWA WEDŁUG WOJEWÓDZTW ― SIEDZIBY ZARZĄDU PRZEDSIĘBIORSTWA, RODZAJÓW REALIZOWANYCH OBIEKTÓW BUDOWLANYCH (KLASYFIKACJA PKOB) PRZEZ PRZEDSIĘBIORSTWA BUDOWLANE O LICZBIE PRACUJĄCYCH POWYŻEJ 9 OSÓB W 2018 R. 
                </t>
    </r>
    <r>
      <rPr>
        <i/>
        <sz val="10"/>
        <rFont val="Arial"/>
        <family val="2"/>
        <charset val="238"/>
      </rPr>
      <t>CONSTRUCTION AND ASSEMBLY PRODUCTION BY VOIVODSHIPS ― ENTERPRISE HEAD OFFICE, BY TYPES OF CONSTRUCTIONS (PKOB CLASSIFICATION) BY CONSTRUCTION ENTERPRISES WITH MORE THAN 9 PERSONS EMPLOYED IN 2018</t>
    </r>
  </si>
  <si>
    <r>
      <t xml:space="preserve">TABL. 8. PRODUKCJA BUDOWLANO-MONTAŻOWA WEDŁUG WOJEWÓDZTW ― SIEDZIBY ZARZĄDU PRZEDSIĘBIORSTWA, WEDŁUG PODSTAWOWEGO RODZAJU DZIAŁALNOŚCI (KLASYFIKACJA ― GRUPY PKD 2007) W PRZEDSIĘBIORSTWACH BUDOWLANYCH O LICZBIE PRACUJĄCYCH POWYŻEJ 9 OSÓB W 2018 R.
                </t>
    </r>
    <r>
      <rPr>
        <i/>
        <sz val="10"/>
        <color indexed="8"/>
        <rFont val="Arial"/>
        <family val="2"/>
        <charset val="238"/>
      </rPr>
      <t xml:space="preserve">CONSTRUCTION AND ASSEMBLY PRODUCTION BY VOIVODSHIPS ― BY ENTERPRISE HEAD OFFICE, BY MAIN TYPE OF ACTIVITY (CLASSIFICATION OF ACTIVITIES 2007 ―  GROUPS) BY CONSTRUCTION ENTITIES WITH MORE THAN 9 PERSONS EMPLOYED IN 2018 </t>
    </r>
  </si>
  <si>
    <r>
      <t xml:space="preserve">STRUKTURA KOSZTÓW PRODUKCJI BUDOWLANO-MONTAŻOWEJ W UKŁADZIE KALKULACYJNYM W JEDNOSTKACH BUDOWLANYCH O LICZBIE PRACUJĄCYCH POWYŻEJ 9 OSÓB W 2018 R.
</t>
    </r>
    <r>
      <rPr>
        <i/>
        <sz val="10"/>
        <rFont val="Arial"/>
        <family val="2"/>
        <charset val="238"/>
      </rPr>
      <t>STRUCTURE OF CONSTRUCTION AND ASSEMBLY PRODUCTION COSTS BY CALCULATION IN CONSTRUCTION ENTITIES WITH MORE THAN 9 PERSONS EMPLOYED IN 2018</t>
    </r>
  </si>
  <si>
    <r>
      <t xml:space="preserve">TABL. 9. STRUKTURA KOSZTÓW PRODUKCJI BUDOWLANO-MONTAŻOWEJ W UKŁADZIE KALKULACYJNYM W JEDNOSTKACH BUDOWLANYCH O LICZBIE PRACUJĄCYCH POWYŻEJ 9 OSÓB W 2018 R.
                </t>
    </r>
    <r>
      <rPr>
        <i/>
        <sz val="10"/>
        <rFont val="Arial"/>
        <family val="2"/>
        <charset val="238"/>
      </rPr>
      <t>STRUCTURE OF CONSTRUCTION AND ASSEMBLY PRODUCTION COSTS BY CALCULATION IN CONSTRUCTION ENTITIES WITH MORE THAN 9 PERSONS EMPLOYED IN 2018</t>
    </r>
  </si>
  <si>
    <r>
      <t xml:space="preserve">PRODUKCJA BUDOWLANO-MONTAŻOWA ZREALIZOWANA NA TERENIE KRAJU PRZEZ JEDNOSTKI BUDOWLANE WEDŁUG WOJEWÓDZTW ― MIEJSCA WYKONYWANIA ROBÓT W LATACH 2014-2018
</t>
    </r>
    <r>
      <rPr>
        <i/>
        <sz val="10"/>
        <rFont val="Arial"/>
        <family val="2"/>
        <charset val="238"/>
      </rPr>
      <t>CONSTRUCTION AND ASSEMBLY PRODUCTION REALIZED DOMESTICALLY BY CONSTRUCTION ENTITIES BY VOIVODSHIPS ― WORK-SITE LOCATIONS IN 2014-2018</t>
    </r>
  </si>
  <si>
    <r>
      <t xml:space="preserve">PRODUKCJA BUDOWLANO-MONTAŻOWA ZREALIZOWANA NA TERENIE KRAJU W LATACH 2005-2018
</t>
    </r>
    <r>
      <rPr>
        <i/>
        <sz val="10"/>
        <rFont val="Arial"/>
        <family val="2"/>
        <charset val="238"/>
      </rPr>
      <t>CONSTRUCTION AND ASSEMBLY PRODUCTION REALIZED DOMESTICALLY IN 2005-2018</t>
    </r>
  </si>
  <si>
    <r>
      <t xml:space="preserve">PRODUKCJA BUDOWLANO-MONTAŻOWA ZREALIZOWANA NA TERENIE KRAJU WEDŁUG WOJEWÓDZTW ― SIEDZIBY ZARZĄDU PRZEDSIĘBIORSTWA I MIEJSCA WYKONYWANIA ROBÓT PRZEZ JEDNOSTKI BUDOWLANE O LICZBIE PRACUJĄCYCH POWYŻEJ 9 OSÓB W LATACH 2014-2018
</t>
    </r>
    <r>
      <rPr>
        <i/>
        <sz val="10"/>
        <rFont val="Arial"/>
        <family val="2"/>
        <charset val="238"/>
      </rPr>
      <t>CONSTRUCTION AND ASSEMBLY PRODUCTION REALIZED DOMESTICALLY BY VOIVODSHIPS ― ENTERPRISE HEAD OFFICE AND WORK-SITE LOCATION BY CONSTRUCTION ENTITIES WITH MORE THAN 9 PERSONS EMPLOYED IN 2014-2018</t>
    </r>
  </si>
  <si>
    <r>
      <t xml:space="preserve">PRODUKCJA BUDOWLANO-MONTAŻOWA ZREALIZOWANA NA TERENIE KRAJU WEDŁUG RODZAJÓW REALIZOWANYCH OBIEKTÓW BUDOWLANYCH (KLASYFIKACJA PKOB) PRZEZ PRZEDSIĘBIORSTWA BUDOWLANE O LICZBIE PRACUJĄCYCH POWYŻEJ 9 OSÓB W LATACH 2014-2018
</t>
    </r>
    <r>
      <rPr>
        <i/>
        <sz val="10"/>
        <rFont val="Arial"/>
        <family val="2"/>
        <charset val="238"/>
      </rPr>
      <t>CONSTRUCTION AND ASSEMBLY PRODUCTION REALIZED DOMESTICALLY BY TYPES OF CONSTRUCTIONS (PKOB CLASSIFICATION) BY CONSTRUCTION ENTERPRISES WITH MORE THAN 9 PERSONS EMPLOYED IN 2014-2018</t>
    </r>
  </si>
  <si>
    <r>
      <t xml:space="preserve">PRODUKCJA BUDOWLANO-MONTAŻOWA ZREALIZOWANA NA TERENIE KRAJU WEDŁUG PODSTAWOWEGO RODZAJU DZIAŁALNOŚCI (KLASYFIKACJA ― GRUPY PKD 2007), WEDŁUG SEKTORÓW PRZEZ PRZEDSIĘBIORSTWA BUDOWLANE O LICZBIE
PRACUJĄCYCH POWYŻEJ 9 OSÓB W LATACH 2014-2018
</t>
    </r>
    <r>
      <rPr>
        <i/>
        <sz val="10"/>
        <rFont val="Arial"/>
        <family val="2"/>
        <charset val="238"/>
      </rPr>
      <t>CONSTRUCTION AND ASSEMBLY PRODUCTION REALIZED DOMESTICALLY BY MAIN TYPE OF ACTIVITY (CLASSIFICATION OF ACTIVITIES 2007 ―  GROUPS) AND BY SECTORS BY CONSTRUCTION ENTITIES WITH MORE THAN 9 PERSONS
EMPLOYED IN 2014-2018</t>
    </r>
  </si>
  <si>
    <r>
      <t xml:space="preserve">TABL. 1. PRODUKCJA BUDOWLANO-MONTAŻOWA ZREALIZOWANA NA TERENIE KRAJU W LATACH 2005-2018
                </t>
    </r>
    <r>
      <rPr>
        <i/>
        <sz val="10"/>
        <rFont val="Arial"/>
        <family val="2"/>
        <charset val="238"/>
      </rPr>
      <t>CONSTRUCTION AND ASSEMBLY PRODUCTION REALIZED DOMESTICALLY IN 2005-2018</t>
    </r>
  </si>
  <si>
    <r>
      <t xml:space="preserve">TABL. 2. PRODUKCJA BUDOWLANO-MONTAŻOWA ZREALIZOWANA NA TERENIE KRAJU PRZEZ JEDNOSTKI BUDOWLANE WEDŁUG WOJEWÓDZTW
                ― MIEJSCA WYKONYWANIA ROBÓT W LATACH 2014-2018
               </t>
    </r>
    <r>
      <rPr>
        <i/>
        <sz val="10"/>
        <rFont val="Arial"/>
        <family val="2"/>
        <charset val="238"/>
      </rPr>
      <t>CONSTRUCTION AND ASSEMBLY PRODUCTION REALIZED DOMESTICALLY BY CONSTRUCTION ENTITIES BY VOIVODSHIPS
               ― WORK-SITE LOCATIONS IN 2014-2018</t>
    </r>
  </si>
  <si>
    <r>
      <t xml:space="preserve">TABL. 4. PRODUKCJA BUDOWLANO-MONTAŻOWA ZREALIZOWANA NA TERENIE KRAJU WEDŁUG WOJEWÓDZTW ― SIEDZIBY ZARZĄDU PRZEDSIĘBIORSTWA I MIEJSCA
                WYKONYWANIA ROBÓT PRZEZ JEDNOSTKI BUDOWLANE O LICZBIE PRACUJĄCYCH POWYŻEJ 9 OSÓB W LATACH 2014-2018
                </t>
    </r>
    <r>
      <rPr>
        <i/>
        <sz val="10"/>
        <rFont val="Arial"/>
        <family val="2"/>
        <charset val="238"/>
      </rPr>
      <t>CONSTRUCTION AND ASSEMBLY PRODUCTION REALIZED DOMESTICALLY BY VOIVODSHIPS ― ENTERPRISE HEAD OFFICE AND WORK-SITE LOCATION
                BY CONSTRUCTION ENTITIES WITH MORE THAN 9 PERSONS EMPLOYED IN 2014-2018</t>
    </r>
  </si>
  <si>
    <r>
      <t xml:space="preserve">TABL. 5. PRODUKCJA BUDOWLANO-MONTAŻOWA ZREALIZOWANA NA TERENIE KRAJU WEDŁUG RODZAJÓW REALIZOWANYCH OBIEKTÓW BUDOWLANYCH (KLASYFIKACJA PKOB) PRZEZ PRZEDSIĘBIORSTWA BUDOWLANE O LICZBIE PRACUJĄCYCH POWYŻEJ 9 OSÓB W LATACH 2014-2018
                </t>
    </r>
    <r>
      <rPr>
        <i/>
        <sz val="10"/>
        <rFont val="Arial"/>
        <family val="2"/>
        <charset val="238"/>
      </rPr>
      <t>CONSTRUCTION AND ASSEMBLY PRODUCTION REALIZED DOMESTICALLY BY TYPES OF CONSTRUCTIONS (PKOB CLASSIFICATION) BY CONSTRUCTION ENTERPRISES WITH MORE THAN 9 PERSONS EMPLOYED IN 2014-2018</t>
    </r>
  </si>
  <si>
    <r>
      <t xml:space="preserve">TABL. 7. PRODUKCJA BUDOWLANO-MONTAŻOWA ZREALIZOWANA NA TERENIE KRAJU WEDŁUG PODSTAWOWEGO RODZAJU DZIAŁALNOŚCI (KLASYFIKACJA ― GRUPY PKD 2007), WEDŁUG SEKTORÓW PRZEZ PRZEDSIĘBIORSTWA BUDOWLANE O LICZBIE PRACUJĄCYCH POWYŻEJ 9 OSÓB W LATACH 2014-2018
                </t>
    </r>
    <r>
      <rPr>
        <i/>
        <sz val="10"/>
        <rFont val="Arial"/>
        <family val="2"/>
        <charset val="238"/>
      </rPr>
      <t>CONSTRUCTION AND ASSEMBLY PRODUCTION REALIZED DOMESTICALLY BY MAIN TYPE OF ACTIVITY (CLASSIFICATION OF ACTIVITIES 2007 ―  GROUPS) AND BY SECTORS BY CONSTRUCTION ENTITIES WITH MORE THAN 9 PERSONS EMPLOYED IN 2014-2018</t>
    </r>
  </si>
  <si>
    <r>
      <t xml:space="preserve">PRODUKCJA BUDOWLANO-MONTAŻOWA WEDŁUG WOJEWÓDZTW  ―  SIEDZIBY ZARZĄDU PRZEDSIĘBIORSTWA, WEDŁUG PODSTAWOWEGO RODZAJU DZIAŁALNOŚCI (KLASYFIKACJA ― GRUPY PKD 2007) W PRZEDSIĘBIORSTWACH BUDOWLANYCH O LICZBIE PRACUJĄCYCH POWYŻEJ 9 OSÓB W 2018 R.
</t>
    </r>
    <r>
      <rPr>
        <i/>
        <sz val="10"/>
        <rFont val="Arial"/>
        <family val="2"/>
        <charset val="238"/>
      </rPr>
      <t xml:space="preserve">CONSTRUCTION AND ASSEMBLY PRODUCTION BY VOIVODSHIPS ― ENTERPRISE HEAD OFFICE, BY MAIN TYPE OF ACTIVITY CONSTRUCTIONS (CLASSIFICATION OF ACTIVITIES 2007 ― GROUPS) BY CONSTRUCTION ENTITIES
WITH MORE THAN 9 PERSONS EMPLOYED IN 2018 </t>
    </r>
  </si>
  <si>
    <r>
      <t xml:space="preserve">PRODUKCJA BUDOWLANO-MONTAŻOWA WEDŁUG WOJEWÓDZTW ― SIEDZIBY ZARZĄDU PRZEDSIĘBIORSTWA, RODZAJÓW REALIZOWANYCH OBIEKTÓW BUDOWLANYCH (KLASYFIKACJA PKOB) PRZEZ PRZEDSIĘBIORSTWA BUDOWLANE
O LICZBIE PRACUJĄCYCH POWYŻEJ 9 OSÓB W 2018 R.
</t>
    </r>
    <r>
      <rPr>
        <i/>
        <sz val="10"/>
        <rFont val="Arial"/>
        <family val="2"/>
        <charset val="238"/>
      </rPr>
      <t xml:space="preserve">CONSTRUCTION AND ASSEMBLY PRODUCTION BY VOIVODSHIPS ― ENTERPRISE HEAD OFFICE, BY TYPES OF CONSTRUCTIONS (PKOB CLASSIFICATION) BY CONSTRUCTION ENTERPRISES WITH MORE THAN 9 PERSONS EMPLOYED IN 2018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</si>
</sst>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_)"/>
    <numFmt numFmtId="166" formatCode="0.0"/>
    <numFmt numFmtId="167" formatCode="0_)"/>
    <numFmt numFmtId="168" formatCode="0.0__"/>
    <numFmt numFmtId="169" formatCode="0.0___)"/>
    <numFmt numFmtId="170" formatCode="General_)"/>
    <numFmt numFmtId="171" formatCode="0______"/>
    <numFmt numFmtId="172" formatCode="&quot;$&quot;#,##0_);[Red]\(&quot;$&quot;#,##0\)"/>
  </numFmts>
  <fonts count="27">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indexed="8"/>
      <name val="Czcionka tekstu podstawowego"/>
      <family val="2"/>
      <charset val="238"/>
    </font>
    <font>
      <u/>
      <sz val="11"/>
      <color theme="10"/>
      <name val="Czcionka tekstu podstawowego"/>
      <family val="2"/>
      <charset val="238"/>
    </font>
    <font>
      <sz val="11"/>
      <color rgb="FF000000"/>
      <name val="Calibri"/>
      <family val="2"/>
      <scheme val="minor"/>
    </font>
    <font>
      <b/>
      <sz val="10"/>
      <name val="Arial"/>
      <family val="2"/>
      <charset val="238"/>
    </font>
    <font>
      <sz val="10"/>
      <color theme="1"/>
      <name val="Arial"/>
      <family val="2"/>
      <charset val="238"/>
    </font>
    <font>
      <i/>
      <sz val="10"/>
      <name val="Arial"/>
      <family val="2"/>
      <charset val="238"/>
    </font>
    <font>
      <sz val="11"/>
      <color theme="1"/>
      <name val="Arial"/>
      <family val="2"/>
      <charset val="238"/>
    </font>
    <font>
      <b/>
      <i/>
      <sz val="10"/>
      <name val="Arial"/>
      <family val="2"/>
      <charset val="238"/>
    </font>
    <font>
      <sz val="10"/>
      <color indexed="8"/>
      <name val="Arial"/>
      <family val="2"/>
      <charset val="238"/>
    </font>
    <font>
      <u/>
      <sz val="10"/>
      <color theme="10"/>
      <name val="Arial"/>
      <family val="2"/>
      <charset val="238"/>
    </font>
    <font>
      <i/>
      <sz val="10"/>
      <color indexed="8"/>
      <name val="Arial"/>
      <family val="2"/>
      <charset val="238"/>
    </font>
    <font>
      <b/>
      <sz val="10"/>
      <color theme="1"/>
      <name val="Arial"/>
      <family val="2"/>
      <charset val="238"/>
    </font>
    <font>
      <i/>
      <sz val="10"/>
      <color theme="1"/>
      <name val="Arial"/>
      <family val="2"/>
      <charset val="238"/>
    </font>
    <font>
      <b/>
      <sz val="10"/>
      <color indexed="8"/>
      <name val="Arial"/>
      <family val="2"/>
      <charset val="238"/>
    </font>
    <font>
      <b/>
      <i/>
      <sz val="10"/>
      <color theme="1"/>
      <name val="Arial"/>
      <family val="2"/>
      <charset val="238"/>
    </font>
    <font>
      <sz val="10"/>
      <color rgb="FFFF0000"/>
      <name val="Arial"/>
      <family val="2"/>
      <charset val="238"/>
    </font>
    <font>
      <b/>
      <sz val="10"/>
      <color rgb="FFFF0000"/>
      <name val="Arial"/>
      <family val="2"/>
      <charset val="238"/>
    </font>
    <font>
      <vertAlign val="superscript"/>
      <sz val="10"/>
      <name val="Arial"/>
      <family val="2"/>
      <charset val="238"/>
    </font>
    <font>
      <i/>
      <vertAlign val="superscript"/>
      <sz val="10"/>
      <name val="Arial"/>
      <family val="2"/>
      <charset val="238"/>
    </font>
    <font>
      <sz val="10"/>
      <name val="Arial"/>
      <family val="2"/>
      <charset val="238"/>
    </font>
    <font>
      <sz val="10"/>
      <name val="MS Sans Serif"/>
      <family val="2"/>
      <charset val="238"/>
    </font>
    <font>
      <u/>
      <sz val="10"/>
      <color indexed="12"/>
      <name val="Arial"/>
      <family val="2"/>
      <charset val="238"/>
    </font>
    <font>
      <b/>
      <i/>
      <sz val="10"/>
      <color indexed="8"/>
      <name val="Arial"/>
      <family val="2"/>
      <charset val="238"/>
    </font>
  </fonts>
  <fills count="2">
    <fill>
      <patternFill patternType="none"/>
    </fill>
    <fill>
      <patternFill patternType="gray125"/>
    </fill>
  </fills>
  <borders count="29">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4">
    <xf numFmtId="0" fontId="0" fillId="0" borderId="0"/>
    <xf numFmtId="9" fontId="1" fillId="0" borderId="0" applyFont="0" applyFill="0" applyBorder="0" applyAlignment="0" applyProtection="0"/>
    <xf numFmtId="0" fontId="3" fillId="0" borderId="0"/>
    <xf numFmtId="0" fontId="4" fillId="0" borderId="0"/>
    <xf numFmtId="0" fontId="4" fillId="0" borderId="0"/>
    <xf numFmtId="0" fontId="5" fillId="0" borderId="0" applyNumberFormat="0" applyFill="0" applyBorder="0" applyAlignment="0" applyProtection="0"/>
    <xf numFmtId="0" fontId="2" fillId="0" borderId="0"/>
    <xf numFmtId="0" fontId="1" fillId="0" borderId="0"/>
    <xf numFmtId="0" fontId="6" fillId="0" borderId="0"/>
    <xf numFmtId="0" fontId="23" fillId="0" borderId="0"/>
    <xf numFmtId="38" fontId="24" fillId="0" borderId="0" applyFont="0" applyFill="0" applyBorder="0" applyAlignment="0" applyProtection="0"/>
    <xf numFmtId="172" fontId="24" fillId="0" borderId="0" applyFont="0" applyFill="0" applyBorder="0" applyAlignment="0" applyProtection="0"/>
    <xf numFmtId="0" fontId="25" fillId="0" borderId="0" applyNumberFormat="0" applyFill="0" applyBorder="0" applyAlignment="0" applyProtection="0">
      <alignment vertical="top"/>
      <protection locked="0"/>
    </xf>
    <xf numFmtId="9" fontId="23" fillId="0" borderId="0" applyFont="0" applyFill="0" applyBorder="0" applyAlignment="0" applyProtection="0"/>
  </cellStyleXfs>
  <cellXfs count="330">
    <xf numFmtId="0" fontId="0" fillId="0" borderId="0" xfId="0"/>
    <xf numFmtId="0" fontId="2" fillId="0" borderId="0" xfId="0" applyFont="1" applyFill="1"/>
    <xf numFmtId="0" fontId="2" fillId="0" borderId="0" xfId="0" applyFont="1"/>
    <xf numFmtId="164" fontId="7" fillId="0" borderId="6" xfId="0" applyNumberFormat="1" applyFont="1" applyBorder="1" applyAlignment="1">
      <alignment horizontal="right" indent="1"/>
    </xf>
    <xf numFmtId="164" fontId="7" fillId="0" borderId="0" xfId="0" applyNumberFormat="1" applyFont="1" applyBorder="1" applyAlignment="1">
      <alignment horizontal="right" indent="1"/>
    </xf>
    <xf numFmtId="164" fontId="7" fillId="0" borderId="7" xfId="0" applyNumberFormat="1" applyFont="1" applyBorder="1" applyAlignment="1">
      <alignment horizontal="right" indent="1"/>
    </xf>
    <xf numFmtId="164" fontId="7" fillId="0" borderId="12" xfId="0" applyNumberFormat="1" applyFont="1" applyBorder="1" applyAlignment="1">
      <alignment horizontal="right" indent="1"/>
    </xf>
    <xf numFmtId="164" fontId="7" fillId="0" borderId="0" xfId="0" applyNumberFormat="1" applyFont="1" applyAlignment="1">
      <alignment horizontal="right" indent="1"/>
    </xf>
    <xf numFmtId="0" fontId="7" fillId="0" borderId="0" xfId="0" applyFont="1"/>
    <xf numFmtId="49" fontId="11" fillId="0" borderId="0" xfId="0" applyNumberFormat="1" applyFont="1" applyBorder="1" applyAlignment="1"/>
    <xf numFmtId="165" fontId="7" fillId="0" borderId="6" xfId="0" applyNumberFormat="1" applyFont="1" applyBorder="1" applyAlignment="1">
      <alignment horizontal="right" indent="1"/>
    </xf>
    <xf numFmtId="49" fontId="9" fillId="0" borderId="0" xfId="0" applyNumberFormat="1" applyFont="1" applyAlignment="1">
      <alignment horizontal="left" indent="1"/>
    </xf>
    <xf numFmtId="164" fontId="7" fillId="0" borderId="7" xfId="0" applyNumberFormat="1" applyFont="1" applyFill="1" applyBorder="1" applyAlignment="1">
      <alignment horizontal="right" indent="1"/>
    </xf>
    <xf numFmtId="49" fontId="11" fillId="0" borderId="0" xfId="0" applyNumberFormat="1" applyFont="1" applyAlignment="1">
      <alignment horizontal="left" indent="1"/>
    </xf>
    <xf numFmtId="164" fontId="2" fillId="0" borderId="6" xfId="0" applyNumberFormat="1" applyFont="1" applyBorder="1" applyAlignment="1">
      <alignment horizontal="right" indent="1"/>
    </xf>
    <xf numFmtId="164" fontId="2" fillId="0" borderId="0" xfId="0" applyNumberFormat="1" applyFont="1" applyBorder="1" applyAlignment="1">
      <alignment horizontal="right" indent="1"/>
    </xf>
    <xf numFmtId="164" fontId="2" fillId="0" borderId="7" xfId="0" applyNumberFormat="1" applyFont="1" applyBorder="1" applyAlignment="1">
      <alignment horizontal="right" indent="1"/>
    </xf>
    <xf numFmtId="164" fontId="2" fillId="0" borderId="0" xfId="0" applyNumberFormat="1" applyFont="1" applyFill="1" applyAlignment="1">
      <alignment horizontal="right" indent="1"/>
    </xf>
    <xf numFmtId="164" fontId="2" fillId="0" borderId="7" xfId="0" applyNumberFormat="1" applyFont="1" applyFill="1" applyBorder="1" applyAlignment="1">
      <alignment horizontal="right" indent="1"/>
    </xf>
    <xf numFmtId="49" fontId="9" fillId="0" borderId="0" xfId="0" applyNumberFormat="1" applyFont="1" applyBorder="1" applyAlignment="1" applyProtection="1">
      <alignment horizontal="left" indent="1"/>
    </xf>
    <xf numFmtId="164" fontId="2" fillId="0" borderId="0" xfId="0" applyNumberFormat="1" applyFont="1" applyAlignment="1">
      <alignment horizontal="right" indent="1"/>
    </xf>
    <xf numFmtId="49" fontId="9" fillId="0" borderId="0" xfId="0" applyNumberFormat="1" applyFont="1" applyBorder="1" applyAlignment="1">
      <alignment horizontal="left" indent="1"/>
    </xf>
    <xf numFmtId="49" fontId="2" fillId="0" borderId="0" xfId="0" applyNumberFormat="1" applyFont="1" applyAlignment="1">
      <alignment horizontal="left" wrapText="1" indent="1"/>
    </xf>
    <xf numFmtId="49" fontId="9" fillId="0" borderId="0" xfId="0" applyNumberFormat="1" applyFont="1" applyAlignment="1">
      <alignment horizontal="left" wrapText="1" indent="1"/>
    </xf>
    <xf numFmtId="164" fontId="8" fillId="0" borderId="0" xfId="0" applyNumberFormat="1" applyFont="1"/>
    <xf numFmtId="0" fontId="12" fillId="0" borderId="0" xfId="0" applyFont="1" applyAlignment="1"/>
    <xf numFmtId="0" fontId="2" fillId="0" borderId="0" xfId="0" applyFont="1" applyAlignment="1">
      <alignment horizontal="left"/>
    </xf>
    <xf numFmtId="0" fontId="9" fillId="0" borderId="0" xfId="0" applyFont="1" applyAlignment="1">
      <alignment horizontal="left" vertical="top"/>
    </xf>
    <xf numFmtId="0" fontId="2" fillId="0" borderId="0" xfId="0" applyFont="1" applyAlignment="1"/>
    <xf numFmtId="0" fontId="7" fillId="0" borderId="0" xfId="0" applyFont="1" applyAlignment="1"/>
    <xf numFmtId="0" fontId="2" fillId="0" borderId="0" xfId="0" applyFont="1" applyAlignment="1">
      <alignment horizontal="left" vertical="top"/>
    </xf>
    <xf numFmtId="0" fontId="8" fillId="0" borderId="0" xfId="0" applyFont="1"/>
    <xf numFmtId="0" fontId="8" fillId="0" borderId="0" xfId="0" applyFont="1" applyAlignment="1"/>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0" applyFont="1" applyBorder="1"/>
    <xf numFmtId="0" fontId="8" fillId="0" borderId="0" xfId="0" applyFont="1" applyAlignment="1">
      <alignment horizontal="center"/>
    </xf>
    <xf numFmtId="0" fontId="8" fillId="0" borderId="15" xfId="0" applyFont="1" applyBorder="1" applyAlignment="1">
      <alignment horizontal="center" vertical="center"/>
    </xf>
    <xf numFmtId="0" fontId="8" fillId="0" borderId="0" xfId="0" applyFont="1" applyAlignment="1">
      <alignment vertical="center"/>
    </xf>
    <xf numFmtId="0" fontId="15" fillId="0" borderId="0" xfId="0" applyFont="1"/>
    <xf numFmtId="0" fontId="7" fillId="0" borderId="0" xfId="0" applyFont="1" applyAlignment="1">
      <alignment vertical="center"/>
    </xf>
    <xf numFmtId="49" fontId="2" fillId="0" borderId="5" xfId="0" applyNumberFormat="1" applyFont="1" applyBorder="1" applyAlignment="1" applyProtection="1">
      <alignment horizontal="left" indent="1"/>
    </xf>
    <xf numFmtId="164" fontId="8" fillId="0" borderId="0" xfId="0" applyNumberFormat="1" applyFont="1" applyAlignment="1">
      <alignment horizontal="right" indent="1"/>
    </xf>
    <xf numFmtId="164" fontId="8" fillId="0" borderId="6" xfId="0" applyNumberFormat="1" applyFont="1" applyBorder="1" applyAlignment="1">
      <alignment horizontal="right" indent="1"/>
    </xf>
    <xf numFmtId="164" fontId="8" fillId="0" borderId="7" xfId="0" applyNumberFormat="1" applyFont="1" applyBorder="1" applyAlignment="1">
      <alignment horizontal="right" indent="1"/>
    </xf>
    <xf numFmtId="0" fontId="16" fillId="0" borderId="0" xfId="0" applyFont="1"/>
    <xf numFmtId="165" fontId="8" fillId="0" borderId="0" xfId="0" applyNumberFormat="1" applyFont="1"/>
    <xf numFmtId="164" fontId="2" fillId="0" borderId="3" xfId="2" applyNumberFormat="1" applyFont="1" applyBorder="1" applyAlignment="1">
      <alignment horizontal="center" vertical="center" wrapText="1"/>
    </xf>
    <xf numFmtId="164" fontId="2" fillId="0" borderId="16" xfId="2" applyNumberFormat="1" applyFont="1" applyBorder="1" applyAlignment="1">
      <alignment horizontal="center" vertical="center" wrapText="1"/>
    </xf>
    <xf numFmtId="0" fontId="7" fillId="0" borderId="0" xfId="3" applyFont="1" applyBorder="1" applyAlignment="1">
      <alignment horizontal="left" wrapText="1"/>
    </xf>
    <xf numFmtId="0" fontId="7" fillId="0" borderId="0" xfId="3" applyFont="1" applyBorder="1" applyAlignment="1">
      <alignment horizontal="center" wrapText="1"/>
    </xf>
    <xf numFmtId="164" fontId="7" fillId="0" borderId="21" xfId="0" applyNumberFormat="1" applyFont="1" applyBorder="1" applyAlignment="1">
      <alignment horizontal="right" indent="1"/>
    </xf>
    <xf numFmtId="49" fontId="11" fillId="0" borderId="0" xfId="0" applyNumberFormat="1" applyFont="1" applyBorder="1" applyAlignment="1" applyProtection="1">
      <alignment horizontal="left" vertical="center"/>
    </xf>
    <xf numFmtId="0" fontId="2" fillId="0" borderId="0" xfId="3" applyFont="1" applyBorder="1" applyAlignment="1">
      <alignment wrapText="1"/>
    </xf>
    <xf numFmtId="166" fontId="8" fillId="0" borderId="0" xfId="0" applyNumberFormat="1" applyFont="1"/>
    <xf numFmtId="164" fontId="15" fillId="0" borderId="6" xfId="0" applyNumberFormat="1" applyFont="1" applyBorder="1" applyAlignment="1">
      <alignment horizontal="right" indent="1"/>
    </xf>
    <xf numFmtId="164" fontId="15" fillId="0" borderId="0" xfId="0" applyNumberFormat="1" applyFont="1" applyBorder="1" applyAlignment="1">
      <alignment horizontal="right" indent="1"/>
    </xf>
    <xf numFmtId="164" fontId="15" fillId="0" borderId="7" xfId="0" applyNumberFormat="1" applyFont="1" applyBorder="1" applyAlignment="1">
      <alignment horizontal="right" indent="1"/>
    </xf>
    <xf numFmtId="0" fontId="2" fillId="0" borderId="0" xfId="3" applyFont="1" applyBorder="1" applyAlignment="1">
      <alignment horizontal="left" wrapText="1" indent="1"/>
    </xf>
    <xf numFmtId="0" fontId="2" fillId="0" borderId="5" xfId="3" applyFont="1" applyBorder="1" applyAlignment="1">
      <alignment horizontal="center" wrapText="1"/>
    </xf>
    <xf numFmtId="164" fontId="8" fillId="0" borderId="0" xfId="0" applyNumberFormat="1" applyFont="1" applyBorder="1" applyAlignment="1">
      <alignment horizontal="right" indent="1"/>
    </xf>
    <xf numFmtId="164" fontId="2" fillId="0" borderId="7" xfId="4" applyNumberFormat="1" applyFont="1" applyBorder="1" applyAlignment="1" applyProtection="1">
      <alignment horizontal="right" indent="1"/>
    </xf>
    <xf numFmtId="164" fontId="2" fillId="0" borderId="6" xfId="4" applyNumberFormat="1" applyFont="1" applyBorder="1" applyAlignment="1" applyProtection="1">
      <alignment horizontal="right" indent="1"/>
    </xf>
    <xf numFmtId="164" fontId="2" fillId="0" borderId="7" xfId="2" applyNumberFormat="1" applyFont="1" applyBorder="1" applyAlignment="1">
      <alignment horizontal="right" indent="1"/>
    </xf>
    <xf numFmtId="164" fontId="2" fillId="0" borderId="0" xfId="4" applyNumberFormat="1" applyFont="1" applyBorder="1" applyAlignment="1" applyProtection="1">
      <alignment horizontal="right" indent="1"/>
    </xf>
    <xf numFmtId="164" fontId="2" fillId="0" borderId="6" xfId="2" applyNumberFormat="1" applyFont="1" applyBorder="1" applyAlignment="1">
      <alignment horizontal="right" indent="1"/>
    </xf>
    <xf numFmtId="164" fontId="2" fillId="0" borderId="0" xfId="2" applyNumberFormat="1" applyFont="1" applyBorder="1" applyAlignment="1">
      <alignment horizontal="right" indent="1"/>
    </xf>
    <xf numFmtId="164" fontId="8" fillId="0" borderId="5" xfId="0" applyNumberFormat="1" applyFont="1" applyBorder="1" applyAlignment="1">
      <alignment horizontal="right" indent="1"/>
    </xf>
    <xf numFmtId="0" fontId="2" fillId="0" borderId="0" xfId="2" applyFont="1" applyBorder="1"/>
    <xf numFmtId="164" fontId="7" fillId="0" borderId="6" xfId="0" quotePrefix="1" applyNumberFormat="1" applyFont="1" applyBorder="1" applyAlignment="1" applyProtection="1">
      <alignment horizontal="right" indent="1"/>
    </xf>
    <xf numFmtId="164" fontId="2" fillId="0" borderId="6" xfId="0" applyNumberFormat="1" applyFont="1" applyBorder="1" applyAlignment="1" applyProtection="1">
      <alignment horizontal="right" indent="1"/>
    </xf>
    <xf numFmtId="164" fontId="2" fillId="0" borderId="6" xfId="0" quotePrefix="1" applyNumberFormat="1" applyFont="1" applyBorder="1" applyAlignment="1" applyProtection="1">
      <alignment horizontal="right" indent="1"/>
    </xf>
    <xf numFmtId="170" fontId="8" fillId="0" borderId="0" xfId="0" applyNumberFormat="1" applyFont="1"/>
    <xf numFmtId="164" fontId="7" fillId="0" borderId="6" xfId="0" applyNumberFormat="1" applyFont="1" applyFill="1" applyBorder="1" applyAlignment="1">
      <alignment horizontal="right" indent="1"/>
    </xf>
    <xf numFmtId="170" fontId="7" fillId="0" borderId="0" xfId="0" applyNumberFormat="1" applyFont="1" applyAlignment="1"/>
    <xf numFmtId="164" fontId="2" fillId="0" borderId="6" xfId="0" applyNumberFormat="1" applyFont="1" applyFill="1" applyBorder="1" applyAlignment="1">
      <alignment horizontal="right" indent="1"/>
    </xf>
    <xf numFmtId="170" fontId="8" fillId="0" borderId="0" xfId="0" applyNumberFormat="1" applyFont="1" applyAlignment="1"/>
    <xf numFmtId="170" fontId="8" fillId="0" borderId="0" xfId="0" applyNumberFormat="1" applyFont="1" applyAlignment="1">
      <alignment horizontal="left" indent="2"/>
    </xf>
    <xf numFmtId="49" fontId="2" fillId="0" borderId="5" xfId="0" applyNumberFormat="1" applyFont="1" applyBorder="1" applyAlignment="1" applyProtection="1">
      <alignment horizontal="left" wrapText="1" indent="3"/>
    </xf>
    <xf numFmtId="170" fontId="15" fillId="0" borderId="0" xfId="0" applyNumberFormat="1" applyFont="1" applyAlignment="1"/>
    <xf numFmtId="170" fontId="15" fillId="0" borderId="0" xfId="0" applyNumberFormat="1" applyFont="1"/>
    <xf numFmtId="165" fontId="2" fillId="0" borderId="0" xfId="0" applyNumberFormat="1" applyFont="1"/>
    <xf numFmtId="165" fontId="12" fillId="0" borderId="0" xfId="0" applyNumberFormat="1" applyFont="1"/>
    <xf numFmtId="165" fontId="2" fillId="0" borderId="13" xfId="0" applyNumberFormat="1" applyFont="1" applyBorder="1" applyAlignment="1">
      <alignment horizontal="center" vertical="center" wrapText="1"/>
    </xf>
    <xf numFmtId="0" fontId="2" fillId="0" borderId="22" xfId="0" applyFont="1" applyBorder="1" applyAlignment="1" applyProtection="1">
      <alignment horizontal="center" vertical="center" wrapText="1"/>
    </xf>
    <xf numFmtId="0" fontId="2" fillId="0" borderId="22" xfId="0" applyFont="1" applyBorder="1" applyAlignment="1" applyProtection="1">
      <alignment horizontal="center" vertical="center"/>
    </xf>
    <xf numFmtId="0" fontId="2" fillId="0" borderId="13" xfId="0" applyFont="1" applyBorder="1" applyAlignment="1" applyProtection="1">
      <alignment horizontal="center" vertical="center" wrapText="1"/>
    </xf>
    <xf numFmtId="0" fontId="2" fillId="0" borderId="22" xfId="0" applyFont="1" applyBorder="1" applyAlignment="1">
      <alignment horizontal="center" vertical="center" wrapText="1"/>
    </xf>
    <xf numFmtId="0" fontId="2" fillId="0" borderId="22" xfId="0" applyFont="1" applyBorder="1" applyAlignment="1">
      <alignment horizontal="center" vertical="center"/>
    </xf>
    <xf numFmtId="165" fontId="2" fillId="0" borderId="22" xfId="0" applyNumberFormat="1" applyFont="1" applyBorder="1" applyAlignment="1">
      <alignment horizontal="center" vertical="center" wrapText="1"/>
    </xf>
    <xf numFmtId="165" fontId="2" fillId="0" borderId="0" xfId="0" applyNumberFormat="1" applyFont="1" applyBorder="1" applyAlignment="1">
      <alignment horizontal="center" vertical="center" wrapText="1"/>
    </xf>
    <xf numFmtId="165" fontId="7" fillId="0" borderId="0" xfId="0" applyNumberFormat="1" applyFont="1" applyAlignment="1"/>
    <xf numFmtId="165" fontId="2" fillId="0" borderId="0" xfId="0" applyNumberFormat="1" applyFont="1" applyAlignment="1"/>
    <xf numFmtId="165" fontId="8" fillId="0" borderId="0" xfId="0" applyNumberFormat="1" applyFont="1" applyAlignment="1"/>
    <xf numFmtId="165" fontId="8" fillId="0" borderId="0" xfId="0" applyNumberFormat="1" applyFont="1" applyBorder="1"/>
    <xf numFmtId="169" fontId="8" fillId="0" borderId="0" xfId="0" applyNumberFormat="1" applyFont="1" applyFill="1"/>
    <xf numFmtId="170" fontId="2" fillId="0" borderId="0" xfId="0" applyNumberFormat="1" applyFont="1"/>
    <xf numFmtId="170" fontId="2" fillId="0" borderId="0" xfId="0" applyNumberFormat="1" applyFont="1" applyAlignment="1">
      <alignment vertical="top"/>
    </xf>
    <xf numFmtId="49" fontId="7" fillId="0" borderId="20" xfId="0" applyNumberFormat="1" applyFont="1" applyBorder="1" applyAlignment="1"/>
    <xf numFmtId="170" fontId="7" fillId="0" borderId="0" xfId="0" applyNumberFormat="1" applyFont="1"/>
    <xf numFmtId="170" fontId="2" fillId="0" borderId="0" xfId="0" applyNumberFormat="1" applyFont="1" applyAlignment="1"/>
    <xf numFmtId="165" fontId="2" fillId="0" borderId="0" xfId="0" applyNumberFormat="1" applyFont="1" applyAlignment="1">
      <alignment horizontal="right"/>
    </xf>
    <xf numFmtId="165" fontId="2" fillId="0" borderId="0" xfId="0" applyNumberFormat="1" applyFont="1" applyBorder="1"/>
    <xf numFmtId="49" fontId="7" fillId="0" borderId="5" xfId="0" applyNumberFormat="1" applyFont="1" applyBorder="1" applyAlignment="1">
      <alignment horizontal="left" indent="1"/>
    </xf>
    <xf numFmtId="1" fontId="2" fillId="0" borderId="0" xfId="0" applyNumberFormat="1" applyFont="1" applyBorder="1"/>
    <xf numFmtId="168" fontId="2" fillId="0" borderId="0" xfId="0" applyNumberFormat="1" applyFont="1"/>
    <xf numFmtId="171" fontId="2" fillId="0" borderId="0" xfId="0" applyNumberFormat="1" applyFont="1" applyBorder="1" applyAlignment="1">
      <alignment horizontal="right"/>
    </xf>
    <xf numFmtId="167" fontId="2" fillId="0" borderId="0" xfId="0" applyNumberFormat="1" applyFont="1" applyAlignment="1">
      <alignment horizontal="right"/>
    </xf>
    <xf numFmtId="49" fontId="7" fillId="0" borderId="5" xfId="0" applyNumberFormat="1" applyFont="1" applyFill="1" applyBorder="1"/>
    <xf numFmtId="167" fontId="11" fillId="0" borderId="0" xfId="0" applyNumberFormat="1" applyFont="1" applyAlignment="1">
      <alignment horizontal="right" indent="1"/>
    </xf>
    <xf numFmtId="1" fontId="7" fillId="0" borderId="5" xfId="0" applyNumberFormat="1" applyFont="1" applyBorder="1" applyAlignment="1"/>
    <xf numFmtId="1" fontId="7" fillId="0" borderId="5" xfId="0" applyNumberFormat="1" applyFont="1" applyBorder="1"/>
    <xf numFmtId="167" fontId="11" fillId="0" borderId="0" xfId="0" applyNumberFormat="1" applyFont="1" applyAlignment="1">
      <alignment wrapText="1"/>
    </xf>
    <xf numFmtId="1" fontId="18" fillId="0" borderId="0" xfId="0" applyNumberFormat="1" applyFont="1" applyAlignment="1">
      <alignment wrapText="1"/>
    </xf>
    <xf numFmtId="164" fontId="15" fillId="0" borderId="5" xfId="0" applyNumberFormat="1" applyFont="1" applyBorder="1" applyAlignment="1">
      <alignment horizontal="right" indent="1"/>
    </xf>
    <xf numFmtId="164" fontId="7" fillId="0" borderId="5" xfId="0" applyNumberFormat="1" applyFont="1" applyBorder="1" applyAlignment="1">
      <alignment horizontal="right" indent="1"/>
    </xf>
    <xf numFmtId="164" fontId="7" fillId="0" borderId="12" xfId="0" applyNumberFormat="1" applyFont="1" applyFill="1" applyBorder="1" applyAlignment="1">
      <alignment horizontal="right" indent="1"/>
    </xf>
    <xf numFmtId="167" fontId="11" fillId="0" borderId="7" xfId="0" applyNumberFormat="1" applyFont="1" applyBorder="1" applyAlignment="1">
      <alignment horizontal="left" indent="1"/>
    </xf>
    <xf numFmtId="164" fontId="2" fillId="0" borderId="15" xfId="2" applyNumberFormat="1" applyFont="1" applyBorder="1" applyAlignment="1">
      <alignment horizontal="center" vertical="center" wrapText="1"/>
    </xf>
    <xf numFmtId="164" fontId="20" fillId="0" borderId="6" xfId="0" applyNumberFormat="1" applyFont="1" applyBorder="1" applyAlignment="1">
      <alignment horizontal="right" indent="1"/>
    </xf>
    <xf numFmtId="164" fontId="19" fillId="0" borderId="6" xfId="0" applyNumberFormat="1" applyFont="1" applyBorder="1" applyAlignment="1">
      <alignment horizontal="right" indent="1"/>
    </xf>
    <xf numFmtId="164" fontId="19" fillId="0" borderId="7" xfId="0" applyNumberFormat="1" applyFont="1" applyBorder="1" applyAlignment="1">
      <alignment horizontal="right" indent="1"/>
    </xf>
    <xf numFmtId="164" fontId="7" fillId="0" borderId="21" xfId="0" applyNumberFormat="1" applyFont="1" applyFill="1" applyBorder="1" applyAlignment="1">
      <alignment horizontal="right" indent="1"/>
    </xf>
    <xf numFmtId="3" fontId="20" fillId="0" borderId="6" xfId="0" applyNumberFormat="1" applyFont="1" applyBorder="1" applyAlignment="1">
      <alignment horizontal="right" indent="1"/>
    </xf>
    <xf numFmtId="3" fontId="20" fillId="0" borderId="5" xfId="0" applyNumberFormat="1" applyFont="1" applyBorder="1" applyAlignment="1">
      <alignment horizontal="right" indent="1"/>
    </xf>
    <xf numFmtId="164" fontId="8" fillId="0" borderId="6" xfId="0" applyNumberFormat="1" applyFont="1" applyFill="1" applyBorder="1" applyAlignment="1">
      <alignment horizontal="right" indent="1"/>
    </xf>
    <xf numFmtId="164" fontId="8" fillId="0" borderId="5" xfId="0" applyNumberFormat="1" applyFont="1" applyFill="1" applyBorder="1" applyAlignment="1">
      <alignment horizontal="right" indent="1"/>
    </xf>
    <xf numFmtId="164" fontId="8" fillId="0" borderId="0" xfId="0" applyNumberFormat="1" applyFont="1" applyFill="1" applyBorder="1" applyAlignment="1">
      <alignment horizontal="right" indent="1"/>
    </xf>
    <xf numFmtId="164" fontId="8" fillId="0" borderId="7" xfId="0" applyNumberFormat="1" applyFont="1" applyFill="1" applyBorder="1" applyAlignment="1">
      <alignment horizontal="right" indent="1"/>
    </xf>
    <xf numFmtId="0" fontId="8" fillId="0" borderId="0" xfId="0" applyFont="1" applyFill="1"/>
    <xf numFmtId="164" fontId="2" fillId="0" borderId="6" xfId="0" quotePrefix="1" applyNumberFormat="1" applyFont="1" applyFill="1" applyBorder="1" applyAlignment="1" applyProtection="1">
      <alignment horizontal="right" indent="1"/>
    </xf>
    <xf numFmtId="165" fontId="7" fillId="0" borderId="6" xfId="0" applyNumberFormat="1" applyFont="1" applyBorder="1"/>
    <xf numFmtId="166" fontId="2" fillId="0" borderId="6" xfId="0" applyNumberFormat="1" applyFont="1" applyBorder="1" applyAlignment="1">
      <alignment horizontal="right" indent="1"/>
    </xf>
    <xf numFmtId="166" fontId="2" fillId="0" borderId="0" xfId="0" applyNumberFormat="1" applyFont="1" applyAlignment="1">
      <alignment horizontal="right" indent="1"/>
    </xf>
    <xf numFmtId="166" fontId="2" fillId="0" borderId="5" xfId="0" applyNumberFormat="1" applyFont="1" applyBorder="1" applyAlignment="1">
      <alignment horizontal="right" indent="1"/>
    </xf>
    <xf numFmtId="166" fontId="7" fillId="0" borderId="6" xfId="0" applyNumberFormat="1" applyFont="1" applyBorder="1" applyAlignment="1">
      <alignment horizontal="right" indent="1"/>
    </xf>
    <xf numFmtId="166" fontId="7" fillId="0" borderId="12" xfId="0" applyNumberFormat="1" applyFont="1" applyBorder="1" applyAlignment="1">
      <alignment horizontal="right" indent="1"/>
    </xf>
    <xf numFmtId="0" fontId="2" fillId="0" borderId="5" xfId="0" applyFont="1" applyBorder="1" applyAlignment="1">
      <alignment horizontal="right" wrapText="1" indent="1"/>
    </xf>
    <xf numFmtId="0" fontId="2" fillId="0" borderId="6" xfId="0" applyFont="1" applyBorder="1" applyAlignment="1">
      <alignment horizontal="right" wrapText="1" indent="1"/>
    </xf>
    <xf numFmtId="3" fontId="7" fillId="0" borderId="12" xfId="0" applyNumberFormat="1" applyFont="1" applyBorder="1" applyAlignment="1">
      <alignment horizontal="right" indent="1"/>
    </xf>
    <xf numFmtId="170" fontId="8" fillId="0" borderId="0" xfId="0" applyNumberFormat="1" applyFont="1" applyFill="1"/>
    <xf numFmtId="3" fontId="7" fillId="0" borderId="6" xfId="0" applyNumberFormat="1" applyFont="1" applyBorder="1" applyAlignment="1">
      <alignment horizontal="right" indent="1"/>
    </xf>
    <xf numFmtId="3" fontId="2" fillId="0" borderId="6" xfId="0" applyNumberFormat="1" applyFont="1" applyBorder="1" applyAlignment="1">
      <alignment horizontal="right" indent="1"/>
    </xf>
    <xf numFmtId="49" fontId="2" fillId="0" borderId="5" xfId="0" applyNumberFormat="1" applyFont="1" applyBorder="1" applyAlignment="1">
      <alignment horizontal="left" indent="1"/>
    </xf>
    <xf numFmtId="49" fontId="9" fillId="0" borderId="7" xfId="0" applyNumberFormat="1" applyFont="1" applyBorder="1" applyAlignment="1">
      <alignment horizontal="left" indent="1"/>
    </xf>
    <xf numFmtId="3" fontId="2" fillId="0" borderId="6" xfId="0" applyNumberFormat="1" applyFont="1" applyFill="1" applyBorder="1" applyAlignment="1">
      <alignment horizontal="right" indent="1"/>
    </xf>
    <xf numFmtId="3" fontId="7" fillId="0" borderId="20" xfId="0" applyNumberFormat="1" applyFont="1" applyBorder="1" applyAlignment="1">
      <alignment horizontal="right" indent="1"/>
    </xf>
    <xf numFmtId="3" fontId="7" fillId="0" borderId="5" xfId="0" applyNumberFormat="1" applyFont="1" applyBorder="1" applyAlignment="1">
      <alignment horizontal="right" indent="1"/>
    </xf>
    <xf numFmtId="3" fontId="2" fillId="0" borderId="5" xfId="0" applyNumberFormat="1" applyFont="1" applyBorder="1" applyAlignment="1">
      <alignment horizontal="right" indent="1"/>
    </xf>
    <xf numFmtId="1" fontId="2" fillId="0" borderId="6" xfId="0" applyNumberFormat="1" applyFont="1" applyBorder="1" applyAlignment="1">
      <alignment horizontal="right" indent="1"/>
    </xf>
    <xf numFmtId="3" fontId="7" fillId="0" borderId="5" xfId="0" applyNumberFormat="1" applyFont="1" applyFill="1" applyBorder="1" applyAlignment="1">
      <alignment horizontal="right" indent="1"/>
    </xf>
    <xf numFmtId="2" fontId="2" fillId="0" borderId="5" xfId="0" applyNumberFormat="1" applyFont="1" applyBorder="1" applyAlignment="1">
      <alignment horizontal="left" indent="1"/>
    </xf>
    <xf numFmtId="1" fontId="7" fillId="0" borderId="5" xfId="0" applyNumberFormat="1" applyFont="1" applyFill="1" applyBorder="1"/>
    <xf numFmtId="164" fontId="7" fillId="0" borderId="6" xfId="0" applyNumberFormat="1" applyFont="1" applyBorder="1" applyAlignment="1" applyProtection="1">
      <alignment horizontal="right" indent="1"/>
    </xf>
    <xf numFmtId="170" fontId="8" fillId="0" borderId="0" xfId="0" applyNumberFormat="1" applyFont="1" applyFill="1" applyAlignment="1"/>
    <xf numFmtId="49" fontId="2" fillId="0" borderId="5" xfId="0" applyNumberFormat="1" applyFont="1" applyFill="1" applyBorder="1"/>
    <xf numFmtId="164" fontId="15" fillId="0" borderId="12" xfId="0" applyNumberFormat="1" applyFont="1" applyBorder="1" applyAlignment="1">
      <alignment horizontal="right" indent="1"/>
    </xf>
    <xf numFmtId="0" fontId="7" fillId="0" borderId="0" xfId="2" applyFont="1" applyFill="1" applyBorder="1" applyAlignment="1">
      <alignment horizontal="left" wrapText="1"/>
    </xf>
    <xf numFmtId="165" fontId="19" fillId="0" borderId="6" xfId="0" applyNumberFormat="1" applyFont="1" applyBorder="1"/>
    <xf numFmtId="165" fontId="2" fillId="0" borderId="6" xfId="0" applyNumberFormat="1" applyFont="1" applyBorder="1"/>
    <xf numFmtId="49" fontId="2" fillId="0" borderId="5" xfId="0" applyNumberFormat="1" applyFont="1" applyFill="1" applyBorder="1" applyAlignment="1">
      <alignment horizontal="left" indent="1"/>
    </xf>
    <xf numFmtId="49" fontId="11" fillId="0" borderId="7" xfId="0" applyNumberFormat="1" applyFont="1" applyBorder="1" applyAlignment="1"/>
    <xf numFmtId="164" fontId="7" fillId="0" borderId="12" xfId="0" quotePrefix="1" applyNumberFormat="1" applyFont="1" applyBorder="1" applyAlignment="1" applyProtection="1">
      <alignment horizontal="right" indent="1"/>
    </xf>
    <xf numFmtId="164" fontId="2" fillId="0" borderId="5" xfId="3" applyNumberFormat="1" applyFont="1" applyBorder="1" applyAlignment="1">
      <alignment horizontal="right" wrapText="1" indent="1"/>
    </xf>
    <xf numFmtId="164" fontId="2" fillId="0" borderId="0" xfId="3" applyNumberFormat="1" applyFont="1" applyBorder="1" applyAlignment="1">
      <alignment horizontal="right" wrapText="1" indent="1"/>
    </xf>
    <xf numFmtId="164" fontId="8" fillId="0" borderId="6" xfId="2" applyNumberFormat="1" applyFont="1" applyBorder="1" applyAlignment="1">
      <alignment horizontal="right" indent="1"/>
    </xf>
    <xf numFmtId="0" fontId="8" fillId="0" borderId="5" xfId="0" applyFont="1" applyBorder="1" applyAlignment="1">
      <alignment horizontal="center" vertical="center" wrapText="1"/>
    </xf>
    <xf numFmtId="0" fontId="2" fillId="0" borderId="14" xfId="0" applyFont="1" applyBorder="1" applyAlignment="1">
      <alignment horizontal="center" vertical="center" wrapText="1"/>
    </xf>
    <xf numFmtId="164" fontId="15" fillId="0" borderId="0" xfId="0" applyNumberFormat="1" applyFont="1" applyAlignment="1">
      <alignment horizontal="right" indent="1"/>
    </xf>
    <xf numFmtId="164" fontId="2" fillId="0" borderId="4" xfId="2" applyNumberFormat="1" applyFont="1" applyBorder="1" applyAlignment="1">
      <alignment horizontal="center" vertical="center" wrapText="1"/>
    </xf>
    <xf numFmtId="0" fontId="7" fillId="0" borderId="0" xfId="0" applyFont="1" applyAlignment="1">
      <alignment horizontal="left"/>
    </xf>
    <xf numFmtId="164" fontId="15" fillId="0" borderId="21" xfId="0" applyNumberFormat="1" applyFont="1" applyBorder="1" applyAlignment="1">
      <alignment horizontal="right" indent="1"/>
    </xf>
    <xf numFmtId="166" fontId="7" fillId="0" borderId="20" xfId="0" applyNumberFormat="1" applyFont="1" applyBorder="1" applyAlignment="1">
      <alignment horizontal="right" indent="1"/>
    </xf>
    <xf numFmtId="166" fontId="7" fillId="0" borderId="0" xfId="0" applyNumberFormat="1" applyFont="1" applyAlignment="1">
      <alignment horizontal="right" indent="1"/>
    </xf>
    <xf numFmtId="0" fontId="2" fillId="0" borderId="15" xfId="2" applyFont="1" applyFill="1" applyBorder="1" applyAlignment="1">
      <alignment horizontal="center" vertical="center" wrapText="1"/>
    </xf>
    <xf numFmtId="0" fontId="2" fillId="0" borderId="16" xfId="2" applyFont="1" applyFill="1" applyBorder="1" applyAlignment="1">
      <alignment horizontal="center" vertical="center" wrapText="1"/>
    </xf>
    <xf numFmtId="1" fontId="2" fillId="0" borderId="15" xfId="2" applyNumberFormat="1" applyFont="1" applyFill="1" applyBorder="1" applyAlignment="1">
      <alignment horizontal="center" vertical="center" wrapText="1"/>
    </xf>
    <xf numFmtId="1" fontId="2" fillId="0" borderId="16" xfId="2" applyNumberFormat="1" applyFont="1" applyFill="1" applyBorder="1" applyAlignment="1">
      <alignment horizontal="center" vertical="center" wrapText="1"/>
    </xf>
    <xf numFmtId="165" fontId="15" fillId="0" borderId="0" xfId="0" applyNumberFormat="1" applyFont="1" applyBorder="1"/>
    <xf numFmtId="168" fontId="2" fillId="0" borderId="3" xfId="0" applyNumberFormat="1" applyFont="1" applyBorder="1" applyAlignment="1">
      <alignment horizontal="center" vertical="center" wrapText="1"/>
    </xf>
    <xf numFmtId="0" fontId="9" fillId="0" borderId="22" xfId="0" applyFont="1" applyBorder="1" applyAlignment="1">
      <alignment horizontal="center" vertical="center" wrapText="1"/>
    </xf>
    <xf numFmtId="171" fontId="2" fillId="0" borderId="3" xfId="0" applyNumberFormat="1" applyFont="1" applyBorder="1" applyAlignment="1">
      <alignment horizontal="center" vertical="center" wrapText="1"/>
    </xf>
    <xf numFmtId="0" fontId="7" fillId="0" borderId="0" xfId="0" applyFont="1" applyAlignment="1">
      <alignment horizontal="left" vertical="top" wrapText="1"/>
    </xf>
    <xf numFmtId="0" fontId="2" fillId="0" borderId="0" xfId="0" applyFont="1" applyAlignment="1">
      <alignment horizontal="center" vertical="top" wrapText="1"/>
    </xf>
    <xf numFmtId="0" fontId="7" fillId="0" borderId="0" xfId="0" applyFont="1" applyAlignment="1">
      <alignment horizontal="left" vertical="top"/>
    </xf>
    <xf numFmtId="0" fontId="13" fillId="0" borderId="0" xfId="5" applyFont="1" applyAlignment="1">
      <alignment horizontal="left" vertical="top" wrapText="1"/>
    </xf>
    <xf numFmtId="0" fontId="12" fillId="0" borderId="0" xfId="0" applyFont="1" applyAlignment="1">
      <alignment horizontal="center" vertical="top"/>
    </xf>
    <xf numFmtId="0" fontId="0" fillId="0" borderId="0" xfId="0" applyAlignment="1">
      <alignment horizontal="center" vertical="top"/>
    </xf>
    <xf numFmtId="49" fontId="7" fillId="0" borderId="0" xfId="0" applyNumberFormat="1" applyFont="1" applyBorder="1" applyAlignment="1" applyProtection="1">
      <alignment horizontal="left" wrapText="1"/>
    </xf>
    <xf numFmtId="0" fontId="7" fillId="0" borderId="20" xfId="0" applyFont="1" applyBorder="1" applyAlignment="1">
      <alignment horizontal="center"/>
    </xf>
    <xf numFmtId="0" fontId="7" fillId="0" borderId="5" xfId="0" applyFont="1" applyBorder="1" applyAlignment="1">
      <alignment horizontal="center"/>
    </xf>
    <xf numFmtId="0" fontId="2" fillId="0" borderId="5" xfId="0" applyFont="1" applyBorder="1" applyAlignment="1">
      <alignment horizontal="center"/>
    </xf>
    <xf numFmtId="49" fontId="7" fillId="0" borderId="0" xfId="0" applyNumberFormat="1" applyFont="1" applyAlignment="1">
      <alignment horizontal="left" wrapText="1" indent="1"/>
    </xf>
    <xf numFmtId="49" fontId="2" fillId="0" borderId="0" xfId="0" applyNumberFormat="1" applyFont="1" applyAlignment="1" applyProtection="1">
      <alignment horizontal="left" wrapText="1" indent="1"/>
    </xf>
    <xf numFmtId="49" fontId="7" fillId="0" borderId="5" xfId="0" applyNumberFormat="1" applyFont="1" applyBorder="1" applyAlignment="1">
      <alignment wrapText="1"/>
    </xf>
    <xf numFmtId="0" fontId="2" fillId="0" borderId="3" xfId="0" applyFont="1" applyBorder="1" applyAlignment="1">
      <alignment horizontal="center" vertical="center"/>
    </xf>
    <xf numFmtId="0" fontId="2" fillId="0" borderId="16" xfId="0" applyFont="1" applyBorder="1" applyAlignment="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xf>
    <xf numFmtId="165" fontId="2" fillId="0" borderId="3" xfId="0" applyNumberFormat="1" applyFont="1" applyBorder="1" applyAlignment="1">
      <alignment horizontal="center" vertical="center" wrapText="1"/>
    </xf>
    <xf numFmtId="164" fontId="2" fillId="0" borderId="16" xfId="2" applyNumberFormat="1" applyFont="1" applyBorder="1" applyAlignment="1">
      <alignment horizontal="center" vertical="center" wrapText="1"/>
    </xf>
    <xf numFmtId="0" fontId="2" fillId="0" borderId="3" xfId="0" applyFont="1" applyFill="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0" xfId="2" applyFont="1" applyFill="1" applyBorder="1" applyAlignment="1">
      <alignment horizontal="left" wrapText="1" indent="1"/>
    </xf>
    <xf numFmtId="0" fontId="2" fillId="0" borderId="0" xfId="2" applyFont="1" applyBorder="1" applyAlignment="1">
      <alignment horizontal="left" wrapText="1" indent="1"/>
    </xf>
    <xf numFmtId="49" fontId="7" fillId="0" borderId="20" xfId="0" applyNumberFormat="1" applyFont="1" applyBorder="1" applyAlignment="1" applyProtection="1">
      <alignment horizontal="left" wrapText="1"/>
    </xf>
    <xf numFmtId="49" fontId="7" fillId="0" borderId="20" xfId="0" applyNumberFormat="1" applyFont="1" applyBorder="1" applyAlignment="1">
      <alignment wrapText="1"/>
    </xf>
    <xf numFmtId="2" fontId="7" fillId="0" borderId="5" xfId="0" applyNumberFormat="1" applyFont="1" applyBorder="1" applyAlignment="1">
      <alignment horizontal="left" wrapText="1"/>
    </xf>
    <xf numFmtId="49" fontId="7" fillId="0" borderId="5" xfId="0" applyNumberFormat="1" applyFont="1" applyBorder="1" applyAlignment="1">
      <alignment horizontal="left" wrapText="1" indent="1"/>
    </xf>
    <xf numFmtId="49" fontId="2" fillId="0" borderId="5" xfId="0" applyNumberFormat="1" applyFont="1" applyBorder="1" applyAlignment="1">
      <alignment horizontal="left" wrapText="1" indent="2"/>
    </xf>
    <xf numFmtId="49" fontId="7" fillId="0" borderId="5" xfId="0" applyNumberFormat="1" applyFont="1" applyBorder="1" applyAlignment="1">
      <alignment horizontal="left" wrapText="1"/>
    </xf>
    <xf numFmtId="49" fontId="2" fillId="0" borderId="5" xfId="0" applyNumberFormat="1" applyFont="1" applyFill="1" applyBorder="1" applyAlignment="1">
      <alignment horizontal="left" wrapText="1" indent="2"/>
    </xf>
    <xf numFmtId="49" fontId="2" fillId="0" borderId="5" xfId="0" applyNumberFormat="1" applyFont="1" applyBorder="1" applyAlignment="1" applyProtection="1">
      <alignment horizontal="left" wrapText="1" indent="2"/>
    </xf>
    <xf numFmtId="49" fontId="2" fillId="0" borderId="5" xfId="0" applyNumberFormat="1" applyFont="1" applyFill="1" applyBorder="1" applyAlignment="1">
      <alignment horizontal="left" wrapText="1" indent="1"/>
    </xf>
    <xf numFmtId="49" fontId="2" fillId="0" borderId="5" xfId="0" applyNumberFormat="1" applyFont="1" applyBorder="1" applyAlignment="1" applyProtection="1">
      <alignment horizontal="left" wrapText="1" indent="1"/>
    </xf>
    <xf numFmtId="49" fontId="2" fillId="0" borderId="5" xfId="0" applyNumberFormat="1" applyFont="1" applyBorder="1" applyAlignment="1">
      <alignment horizontal="left" wrapText="1" indent="1"/>
    </xf>
    <xf numFmtId="170" fontId="2" fillId="0" borderId="13"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left" wrapText="1" indent="2"/>
    </xf>
    <xf numFmtId="165" fontId="2" fillId="0" borderId="3" xfId="0" applyNumberFormat="1" applyFont="1" applyBorder="1" applyAlignment="1" applyProtection="1">
      <alignment horizontal="center" vertical="center" wrapText="1"/>
    </xf>
    <xf numFmtId="165" fontId="2" fillId="0" borderId="4" xfId="0" applyNumberFormat="1" applyFont="1" applyBorder="1" applyAlignment="1" applyProtection="1">
      <alignment horizontal="center" vertical="center" wrapText="1"/>
    </xf>
    <xf numFmtId="165" fontId="2" fillId="0" borderId="2" xfId="0" applyNumberFormat="1" applyFont="1" applyBorder="1" applyAlignment="1" applyProtection="1">
      <alignment horizontal="center" vertical="center" wrapText="1"/>
    </xf>
    <xf numFmtId="0" fontId="2" fillId="0" borderId="5" xfId="2" applyFont="1" applyFill="1" applyBorder="1" applyAlignment="1">
      <alignment horizontal="left" wrapText="1" indent="1"/>
    </xf>
    <xf numFmtId="0" fontId="2" fillId="0" borderId="5" xfId="2" applyFont="1" applyBorder="1" applyAlignment="1">
      <alignment horizontal="left" wrapText="1" indent="1"/>
    </xf>
    <xf numFmtId="49" fontId="12" fillId="0" borderId="5" xfId="0" applyNumberFormat="1" applyFont="1" applyBorder="1" applyAlignment="1">
      <alignment horizontal="left" wrapText="1" indent="1"/>
    </xf>
    <xf numFmtId="0" fontId="7" fillId="0" borderId="5" xfId="2" applyFont="1" applyFill="1" applyBorder="1" applyAlignment="1">
      <alignment horizontal="left" wrapText="1"/>
    </xf>
    <xf numFmtId="49" fontId="17" fillId="0" borderId="5" xfId="0" applyNumberFormat="1" applyFont="1" applyBorder="1" applyAlignment="1">
      <alignment horizontal="left" wrapText="1"/>
    </xf>
    <xf numFmtId="49" fontId="14" fillId="0" borderId="0" xfId="0" applyNumberFormat="1" applyFont="1" applyAlignment="1">
      <alignment horizontal="left" indent="1"/>
    </xf>
    <xf numFmtId="49" fontId="17" fillId="0" borderId="0" xfId="0" applyNumberFormat="1" applyFont="1" applyAlignment="1">
      <alignment horizontal="left" wrapText="1"/>
    </xf>
    <xf numFmtId="49" fontId="2" fillId="0" borderId="5" xfId="0" applyNumberFormat="1" applyFont="1" applyBorder="1" applyAlignment="1">
      <alignment wrapText="1"/>
    </xf>
    <xf numFmtId="0" fontId="8" fillId="0" borderId="0" xfId="0" applyFont="1" applyAlignment="1"/>
    <xf numFmtId="49" fontId="7" fillId="0" borderId="0" xfId="0" applyNumberFormat="1" applyFont="1" applyBorder="1" applyAlignment="1">
      <alignment horizontal="left" indent="1"/>
    </xf>
    <xf numFmtId="3" fontId="7" fillId="0" borderId="0" xfId="0" applyNumberFormat="1" applyFont="1" applyBorder="1" applyAlignment="1">
      <alignment horizontal="right" indent="1"/>
    </xf>
    <xf numFmtId="167" fontId="11" fillId="0" borderId="0" xfId="0" applyNumberFormat="1" applyFont="1" applyBorder="1" applyAlignment="1">
      <alignment horizontal="left" indent="1"/>
    </xf>
    <xf numFmtId="164" fontId="2" fillId="0" borderId="6" xfId="0" applyNumberFormat="1" applyFont="1" applyBorder="1" applyAlignment="1">
      <alignment horizontal="right"/>
    </xf>
    <xf numFmtId="3" fontId="2" fillId="0" borderId="5" xfId="0" applyNumberFormat="1" applyFont="1" applyBorder="1" applyAlignment="1">
      <alignment horizontal="right"/>
    </xf>
    <xf numFmtId="167" fontId="11" fillId="0" borderId="0" xfId="0" applyNumberFormat="1" applyFont="1" applyAlignment="1">
      <alignment horizontal="right"/>
    </xf>
    <xf numFmtId="49" fontId="9" fillId="0" borderId="7" xfId="0" applyNumberFormat="1" applyFont="1" applyBorder="1" applyAlignment="1">
      <alignment horizontal="left" wrapText="1" indent="1"/>
    </xf>
    <xf numFmtId="49" fontId="7" fillId="0" borderId="0" xfId="0" applyNumberFormat="1" applyFont="1" applyFill="1" applyBorder="1" applyAlignment="1" applyProtection="1">
      <alignment horizontal="left" wrapText="1"/>
    </xf>
    <xf numFmtId="164" fontId="2" fillId="0" borderId="27" xfId="0" applyNumberFormat="1" applyFont="1" applyBorder="1" applyAlignment="1">
      <alignment horizontal="right" indent="1"/>
    </xf>
    <xf numFmtId="164" fontId="2" fillId="0" borderId="28" xfId="0" applyNumberFormat="1" applyFont="1" applyBorder="1" applyAlignment="1">
      <alignment horizontal="right" indent="1"/>
    </xf>
    <xf numFmtId="164" fontId="7" fillId="0" borderId="0" xfId="0" applyNumberFormat="1" applyFont="1" applyFill="1" applyBorder="1" applyAlignment="1">
      <alignment horizontal="right" indent="1"/>
    </xf>
    <xf numFmtId="164" fontId="2" fillId="0" borderId="0" xfId="0" applyNumberFormat="1" applyFont="1" applyFill="1" applyBorder="1" applyAlignment="1">
      <alignment horizontal="right" indent="1"/>
    </xf>
    <xf numFmtId="0" fontId="13" fillId="0" borderId="0" xfId="5" applyFont="1" applyAlignment="1">
      <alignmen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7" fillId="0" borderId="0" xfId="0" applyFont="1" applyAlignment="1">
      <alignment horizontal="left" vertical="top"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7" xfId="0" applyFont="1" applyBorder="1" applyAlignment="1"/>
    <xf numFmtId="0" fontId="8" fillId="0" borderId="0" xfId="0" applyFont="1" applyAlignment="1">
      <alignment vertical="top" wrapText="1"/>
    </xf>
    <xf numFmtId="0" fontId="8" fillId="0" borderId="0" xfId="0" applyFont="1" applyAlignment="1"/>
    <xf numFmtId="0" fontId="8" fillId="0" borderId="1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0" xfId="0" applyFont="1" applyAlignment="1">
      <alignment horizontal="left" wrapText="1"/>
    </xf>
    <xf numFmtId="9" fontId="2" fillId="0" borderId="14" xfId="1" applyFont="1" applyBorder="1" applyAlignment="1">
      <alignment horizontal="center" vertical="center" wrapText="1"/>
    </xf>
    <xf numFmtId="9" fontId="2" fillId="0" borderId="19" xfId="1" applyFont="1" applyBorder="1" applyAlignment="1">
      <alignment horizontal="center" vertical="center"/>
    </xf>
    <xf numFmtId="0" fontId="15" fillId="0" borderId="0" xfId="0" applyFont="1" applyAlignment="1">
      <alignment horizontal="left" vertical="top" wrapText="1"/>
    </xf>
    <xf numFmtId="0" fontId="15" fillId="0" borderId="0" xfId="0" applyFont="1" applyAlignment="1">
      <alignment horizontal="left" vertical="top"/>
    </xf>
    <xf numFmtId="167" fontId="2" fillId="0" borderId="3" xfId="0" applyNumberFormat="1" applyFont="1" applyBorder="1" applyAlignment="1" applyProtection="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7" fillId="0" borderId="0" xfId="2" applyFont="1" applyAlignment="1">
      <alignment horizontal="left" vertical="top" wrapText="1"/>
    </xf>
    <xf numFmtId="0" fontId="0" fillId="0" borderId="0" xfId="0" applyAlignment="1"/>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0" xfId="2" applyFont="1" applyBorder="1" applyAlignment="1">
      <alignment horizontal="center" vertical="center" wrapText="1"/>
    </xf>
    <xf numFmtId="0" fontId="2" fillId="0" borderId="5" xfId="2" applyFont="1" applyBorder="1" applyAlignment="1">
      <alignment horizontal="center" vertical="center" wrapText="1"/>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164" fontId="2" fillId="0" borderId="16" xfId="2" applyNumberFormat="1" applyFont="1" applyBorder="1" applyAlignment="1">
      <alignment horizontal="center" vertical="center" wrapText="1"/>
    </xf>
    <xf numFmtId="164" fontId="2" fillId="0" borderId="17" xfId="2" applyNumberFormat="1" applyFont="1" applyBorder="1" applyAlignment="1">
      <alignment horizontal="center" vertical="center" wrapText="1"/>
    </xf>
    <xf numFmtId="0" fontId="0" fillId="0" borderId="18" xfId="0" applyBorder="1" applyAlignment="1">
      <alignment horizontal="center" vertical="center" wrapText="1"/>
    </xf>
    <xf numFmtId="164" fontId="2" fillId="0" borderId="14" xfId="2" applyNumberFormat="1" applyFont="1" applyBorder="1" applyAlignment="1">
      <alignment horizontal="center" vertical="center" wrapText="1"/>
    </xf>
    <xf numFmtId="164" fontId="2" fillId="0" borderId="19" xfId="2" applyNumberFormat="1" applyFont="1" applyBorder="1" applyAlignment="1">
      <alignment horizontal="center" vertical="center" wrapText="1"/>
    </xf>
    <xf numFmtId="0" fontId="7" fillId="0" borderId="0" xfId="2" applyFont="1" applyBorder="1" applyAlignment="1">
      <alignment horizontal="left" vertical="top" wrapText="1"/>
    </xf>
    <xf numFmtId="0" fontId="2" fillId="0" borderId="1" xfId="0" applyFont="1" applyFill="1" applyBorder="1" applyAlignment="1">
      <alignment horizontal="center" vertical="center" wrapText="1"/>
    </xf>
    <xf numFmtId="0" fontId="8" fillId="0" borderId="19" xfId="2" applyFont="1" applyFill="1" applyBorder="1" applyAlignment="1">
      <alignment horizontal="center" vertical="center" wrapText="1"/>
    </xf>
    <xf numFmtId="0" fontId="8" fillId="0" borderId="19" xfId="0" applyFont="1" applyFill="1" applyBorder="1" applyAlignment="1">
      <alignment horizontal="center" vertical="center" wrapText="1"/>
    </xf>
    <xf numFmtId="0" fontId="2" fillId="0" borderId="17" xfId="2" applyFont="1" applyFill="1" applyBorder="1" applyAlignment="1">
      <alignment horizontal="center" vertical="center" wrapText="1"/>
    </xf>
    <xf numFmtId="0" fontId="2" fillId="0" borderId="18" xfId="2" applyFont="1" applyFill="1" applyBorder="1" applyAlignment="1">
      <alignment horizontal="center" vertical="center" wrapText="1"/>
    </xf>
    <xf numFmtId="170" fontId="8" fillId="0" borderId="0" xfId="0" applyNumberFormat="1" applyFont="1" applyAlignment="1">
      <alignment horizontal="left" wrapText="1"/>
    </xf>
    <xf numFmtId="170" fontId="8" fillId="0" borderId="0" xfId="0" applyNumberFormat="1" applyFont="1" applyAlignment="1">
      <alignment horizontal="left"/>
    </xf>
    <xf numFmtId="164" fontId="2" fillId="0" borderId="0" xfId="0" applyNumberFormat="1" applyFont="1" applyFill="1" applyAlignment="1">
      <alignment horizontal="center" vertical="center" wrapText="1"/>
    </xf>
    <xf numFmtId="0" fontId="2" fillId="0" borderId="0" xfId="0" applyFont="1" applyAlignment="1">
      <alignment horizontal="center" vertical="center"/>
    </xf>
    <xf numFmtId="0" fontId="7" fillId="0" borderId="28" xfId="2" applyFont="1" applyBorder="1" applyAlignment="1">
      <alignment horizontal="left" vertical="top" wrapText="1"/>
    </xf>
    <xf numFmtId="0" fontId="2" fillId="0" borderId="21" xfId="0" applyFont="1" applyBorder="1" applyAlignment="1">
      <alignment horizontal="center" vertical="center" wrapText="1"/>
    </xf>
    <xf numFmtId="0" fontId="19" fillId="0" borderId="23" xfId="0" applyFont="1" applyBorder="1" applyAlignment="1">
      <alignment horizontal="center" vertical="center"/>
    </xf>
    <xf numFmtId="0" fontId="2" fillId="0" borderId="19" xfId="0" applyFont="1" applyFill="1" applyBorder="1" applyAlignment="1">
      <alignment horizontal="center" vertical="center" wrapText="1"/>
    </xf>
    <xf numFmtId="0" fontId="0" fillId="0" borderId="19" xfId="0" applyFill="1" applyBorder="1" applyAlignment="1"/>
    <xf numFmtId="164" fontId="2" fillId="0" borderId="26" xfId="0" applyNumberFormat="1" applyFont="1" applyFill="1" applyBorder="1" applyAlignment="1">
      <alignment horizontal="center" vertical="center" wrapText="1"/>
    </xf>
    <xf numFmtId="164" fontId="2" fillId="0" borderId="28" xfId="0" applyNumberFormat="1" applyFont="1" applyFill="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xf>
    <xf numFmtId="0" fontId="17" fillId="0" borderId="28" xfId="0" applyNumberFormat="1" applyFont="1" applyBorder="1" applyAlignment="1" applyProtection="1">
      <alignment horizontal="left" vertical="top" wrapText="1"/>
    </xf>
    <xf numFmtId="0" fontId="8" fillId="0" borderId="0" xfId="0" applyFont="1" applyAlignment="1">
      <alignment horizontal="left"/>
    </xf>
    <xf numFmtId="165" fontId="2" fillId="0" borderId="14" xfId="0" applyNumberFormat="1" applyFont="1" applyBorder="1" applyAlignment="1">
      <alignment horizontal="center" vertical="center"/>
    </xf>
    <xf numFmtId="165" fontId="2" fillId="0" borderId="19" xfId="0" applyNumberFormat="1" applyFont="1" applyBorder="1" applyAlignment="1">
      <alignment horizontal="center" vertical="center"/>
    </xf>
    <xf numFmtId="0" fontId="7" fillId="0" borderId="0" xfId="0" applyNumberFormat="1" applyFont="1" applyAlignment="1" applyProtection="1">
      <alignment horizontal="left" vertical="top" wrapText="1"/>
    </xf>
    <xf numFmtId="0" fontId="7" fillId="0" borderId="0" xfId="0" applyNumberFormat="1" applyFont="1" applyAlignment="1" applyProtection="1">
      <alignment horizontal="left" vertical="top"/>
    </xf>
    <xf numFmtId="170" fontId="2" fillId="0" borderId="2" xfId="0" applyNumberFormat="1" applyFont="1" applyBorder="1" applyAlignment="1" applyProtection="1">
      <alignment horizontal="center" vertical="center" wrapText="1"/>
    </xf>
    <xf numFmtId="170" fontId="2" fillId="0" borderId="5" xfId="0" applyNumberFormat="1" applyFont="1" applyBorder="1" applyAlignment="1" applyProtection="1">
      <alignment horizontal="center" vertical="center" wrapText="1"/>
    </xf>
    <xf numFmtId="0" fontId="7" fillId="0" borderId="0" xfId="0" applyNumberFormat="1" applyFont="1" applyBorder="1" applyAlignment="1">
      <alignment horizontal="left" vertical="top" wrapText="1"/>
    </xf>
    <xf numFmtId="1" fontId="2" fillId="0" borderId="2" xfId="0" applyNumberFormat="1" applyFont="1" applyBorder="1" applyAlignment="1">
      <alignment horizontal="center" vertical="center"/>
    </xf>
    <xf numFmtId="0" fontId="2" fillId="0" borderId="9" xfId="0" applyFont="1" applyBorder="1" applyAlignment="1">
      <alignment horizontal="center" vertical="center"/>
    </xf>
    <xf numFmtId="167" fontId="9" fillId="0" borderId="4" xfId="0" applyNumberFormat="1" applyFont="1" applyBorder="1" applyAlignment="1">
      <alignment horizontal="center" vertical="center"/>
    </xf>
    <xf numFmtId="0" fontId="9" fillId="0" borderId="11" xfId="0" applyFont="1" applyBorder="1" applyAlignment="1">
      <alignment horizontal="center" vertical="center"/>
    </xf>
    <xf numFmtId="1" fontId="2" fillId="0" borderId="0" xfId="0" applyNumberFormat="1" applyFont="1" applyBorder="1" applyAlignment="1">
      <alignment horizontal="left" wrapText="1"/>
    </xf>
    <xf numFmtId="1" fontId="21" fillId="0" borderId="0" xfId="0" applyNumberFormat="1" applyFont="1" applyBorder="1" applyAlignment="1">
      <alignment horizontal="left" wrapText="1"/>
    </xf>
    <xf numFmtId="0" fontId="10" fillId="0" borderId="0" xfId="0" applyNumberFormat="1" applyFont="1" applyAlignment="1">
      <alignment horizontal="left" vertical="top" wrapText="1"/>
    </xf>
  </cellXfs>
  <cellStyles count="14">
    <cellStyle name="Comma [0]" xfId="10"/>
    <cellStyle name="Currency [0]" xfId="11"/>
    <cellStyle name="Hiperłącze" xfId="5" builtinId="8"/>
    <cellStyle name="Hiperłącze 2" xfId="12"/>
    <cellStyle name="Normal" xfId="8"/>
    <cellStyle name="Normalny" xfId="0" builtinId="0"/>
    <cellStyle name="Normalny 2" xfId="7"/>
    <cellStyle name="Normalny 2 10 2" xfId="3"/>
    <cellStyle name="Normalny 2 3 2" xfId="4"/>
    <cellStyle name="Normalny 3" xfId="9"/>
    <cellStyle name="Normalny 5" xfId="2"/>
    <cellStyle name="Normalny 6" xfId="6"/>
    <cellStyle name="Procentowy" xfId="1" builtinId="5"/>
    <cellStyle name="Procentowy 2" xfId="13"/>
  </cellStyles>
  <dxfs count="0"/>
  <tableStyles count="0" defaultTableStyle="TableStyleMedium2" defaultPivotStyle="PivotStyleLight16"/>
  <colors>
    <mruColors>
      <color rgb="FF001D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tabSelected="1" zoomScale="90" zoomScaleNormal="90" workbookViewId="0">
      <pane xSplit="1" ySplit="1" topLeftCell="B2" activePane="bottomRight" state="frozen"/>
      <selection pane="topRight" activeCell="B1" sqref="B1"/>
      <selection pane="bottomLeft" activeCell="A2" sqref="A2"/>
      <selection pane="bottomRight" activeCell="B1" sqref="B1"/>
    </sheetView>
  </sheetViews>
  <sheetFormatPr defaultColWidth="9.140625" defaultRowHeight="12.75"/>
  <cols>
    <col min="1" max="1" width="4" style="186" customWidth="1"/>
    <col min="2" max="2" width="227.140625" style="25" customWidth="1"/>
    <col min="3" max="16384" width="9.140625" style="25"/>
  </cols>
  <sheetData>
    <row r="1" spans="1:13" s="30" customFormat="1" ht="30" customHeight="1">
      <c r="A1" s="183"/>
      <c r="B1" s="182" t="s">
        <v>202</v>
      </c>
    </row>
    <row r="2" spans="1:13" s="30" customFormat="1" ht="30" customHeight="1">
      <c r="A2" s="187">
        <v>1</v>
      </c>
      <c r="B2" s="185" t="s">
        <v>293</v>
      </c>
      <c r="H2" s="184"/>
      <c r="I2" s="184"/>
      <c r="J2" s="184"/>
      <c r="K2" s="184"/>
      <c r="L2" s="184"/>
      <c r="M2" s="184"/>
    </row>
    <row r="3" spans="1:13" s="30" customFormat="1" ht="30" customHeight="1">
      <c r="A3" s="187">
        <v>2</v>
      </c>
      <c r="B3" s="185" t="s">
        <v>292</v>
      </c>
      <c r="H3" s="184"/>
      <c r="I3" s="184"/>
      <c r="J3" s="184"/>
      <c r="K3" s="184"/>
      <c r="L3" s="184"/>
      <c r="M3" s="184"/>
    </row>
    <row r="4" spans="1:13" s="30" customFormat="1" ht="30" customHeight="1">
      <c r="A4" s="187">
        <v>3</v>
      </c>
      <c r="B4" s="185" t="s">
        <v>283</v>
      </c>
    </row>
    <row r="5" spans="1:13" s="30" customFormat="1" ht="40.5" customHeight="1">
      <c r="A5" s="187">
        <v>4</v>
      </c>
      <c r="B5" s="244" t="s">
        <v>294</v>
      </c>
    </row>
    <row r="6" spans="1:13" s="30" customFormat="1" ht="40.5" customHeight="1">
      <c r="A6" s="187">
        <v>5</v>
      </c>
      <c r="B6" s="185" t="s">
        <v>295</v>
      </c>
    </row>
    <row r="7" spans="1:13" s="30" customFormat="1" ht="40.5" customHeight="1">
      <c r="A7" s="187">
        <v>6</v>
      </c>
      <c r="B7" s="185" t="s">
        <v>303</v>
      </c>
    </row>
    <row r="8" spans="1:13" s="30" customFormat="1" ht="52.5" customHeight="1">
      <c r="A8" s="187">
        <v>7</v>
      </c>
      <c r="B8" s="185" t="s">
        <v>296</v>
      </c>
    </row>
    <row r="9" spans="1:13" s="30" customFormat="1" ht="54" customHeight="1">
      <c r="A9" s="187">
        <v>8</v>
      </c>
      <c r="B9" s="185" t="s">
        <v>302</v>
      </c>
    </row>
    <row r="10" spans="1:13" s="30" customFormat="1" ht="30" customHeight="1">
      <c r="A10" s="187">
        <v>9</v>
      </c>
      <c r="B10" s="185" t="s">
        <v>290</v>
      </c>
    </row>
    <row r="11" spans="1:13" s="30" customFormat="1" ht="52.5" customHeight="1">
      <c r="A11" s="187">
        <v>10</v>
      </c>
      <c r="B11" s="185" t="s">
        <v>282</v>
      </c>
    </row>
    <row r="12" spans="1:13" s="30" customFormat="1" ht="52.5" customHeight="1">
      <c r="A12" s="187">
        <v>11</v>
      </c>
      <c r="B12" s="185" t="s">
        <v>201</v>
      </c>
      <c r="H12" s="27"/>
      <c r="I12" s="27"/>
    </row>
    <row r="13" spans="1:13" s="30" customFormat="1" ht="20.100000000000001" customHeight="1">
      <c r="A13" s="183"/>
      <c r="B13" s="27"/>
      <c r="C13" s="184"/>
      <c r="D13" s="184"/>
      <c r="E13" s="184"/>
      <c r="F13" s="184"/>
      <c r="G13" s="184"/>
      <c r="H13" s="184"/>
      <c r="I13" s="184"/>
      <c r="J13" s="184"/>
      <c r="K13" s="184"/>
      <c r="L13" s="184"/>
      <c r="M13" s="184"/>
    </row>
    <row r="14" spans="1:13" s="2" customFormat="1">
      <c r="A14" s="183"/>
      <c r="B14" s="170"/>
      <c r="C14" s="170"/>
      <c r="D14" s="170"/>
      <c r="E14" s="170"/>
      <c r="F14" s="170"/>
      <c r="G14" s="170"/>
      <c r="H14" s="170"/>
      <c r="I14" s="170"/>
      <c r="J14" s="170"/>
      <c r="K14" s="170"/>
      <c r="L14" s="170"/>
      <c r="M14" s="170"/>
    </row>
    <row r="15" spans="1:13">
      <c r="B15" s="38"/>
    </row>
    <row r="16" spans="1:13">
      <c r="B16" s="27"/>
    </row>
  </sheetData>
  <hyperlinks>
    <hyperlink ref="B2" location="'1'!A2" display="'1'!A2"/>
    <hyperlink ref="B6" location="'5'!A2" display="'5'!A2"/>
    <hyperlink ref="B4" location="'3'!A2" display="'3'!A2"/>
    <hyperlink ref="B3" location="'2'!A2" display="'2'!A2"/>
    <hyperlink ref="B12" location="'11'!A2" display="'11'!A2"/>
    <hyperlink ref="B11" location="'10'!A2" display="'10'!A2"/>
    <hyperlink ref="B10" location="'9'!A2" display="'9'!A2"/>
    <hyperlink ref="B9" location="'8'!A2" display="'8'!A2"/>
    <hyperlink ref="B8" location="'7'!A2" display="'7'!A2"/>
    <hyperlink ref="B7" location="'6'!A2" display="'6'!A2"/>
    <hyperlink ref="B5" location="'4'!A2" display="'4'!A2"/>
  </hyperlinks>
  <printOptions horizontalCentered="1"/>
  <pageMargins left="0.39370078740157483" right="0.39370078740157483" top="0.59055118110236227" bottom="0.59055118110236227" header="0.31496062992125984" footer="0.31496062992125984"/>
  <pageSetup paperSize="9" scale="6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
  <sheetViews>
    <sheetView zoomScale="90" zoomScaleNormal="90" workbookViewId="0">
      <pane xSplit="1" ySplit="4" topLeftCell="B5" activePane="bottomRight" state="frozen"/>
      <selection activeCell="A2" sqref="A2:P2"/>
      <selection pane="topRight" activeCell="A2" sqref="A2:P2"/>
      <selection pane="bottomLeft" activeCell="A2" sqref="A2:P2"/>
      <selection pane="bottomRight" activeCell="A2" sqref="A2:J2"/>
    </sheetView>
  </sheetViews>
  <sheetFormatPr defaultColWidth="9.7109375" defaultRowHeight="12.75"/>
  <cols>
    <col min="1" max="1" width="58.5703125" style="96" customWidth="1"/>
    <col min="2" max="2" width="11.42578125" style="101" customWidth="1"/>
    <col min="3" max="4" width="17.140625" style="81" customWidth="1"/>
    <col min="5" max="5" width="17.140625" style="102" customWidth="1"/>
    <col min="6" max="10" width="17.140625" style="81" customWidth="1"/>
    <col min="11" max="16384" width="9.7109375" style="96"/>
  </cols>
  <sheetData>
    <row r="2" spans="1:10" ht="30" customHeight="1">
      <c r="A2" s="318" t="s">
        <v>291</v>
      </c>
      <c r="B2" s="319"/>
      <c r="C2" s="319"/>
      <c r="D2" s="319"/>
      <c r="E2" s="319"/>
      <c r="F2" s="319"/>
      <c r="G2" s="319"/>
      <c r="H2" s="319"/>
      <c r="I2" s="319"/>
      <c r="J2" s="319"/>
    </row>
    <row r="3" spans="1:10" ht="93" customHeight="1">
      <c r="A3" s="320" t="s">
        <v>129</v>
      </c>
      <c r="B3" s="220" t="s">
        <v>122</v>
      </c>
      <c r="C3" s="220" t="s">
        <v>125</v>
      </c>
      <c r="D3" s="220" t="s">
        <v>126</v>
      </c>
      <c r="E3" s="221" t="s">
        <v>124</v>
      </c>
      <c r="F3" s="220" t="s">
        <v>183</v>
      </c>
      <c r="G3" s="222" t="s">
        <v>127</v>
      </c>
      <c r="H3" s="220" t="s">
        <v>259</v>
      </c>
      <c r="I3" s="220" t="s">
        <v>185</v>
      </c>
      <c r="J3" s="221" t="s">
        <v>182</v>
      </c>
    </row>
    <row r="4" spans="1:10" ht="30" customHeight="1" thickBot="1">
      <c r="A4" s="321"/>
      <c r="B4" s="316" t="s">
        <v>123</v>
      </c>
      <c r="C4" s="317"/>
      <c r="D4" s="317"/>
      <c r="E4" s="317"/>
      <c r="F4" s="317"/>
      <c r="G4" s="317"/>
      <c r="H4" s="317"/>
      <c r="I4" s="317"/>
      <c r="J4" s="317"/>
    </row>
    <row r="5" spans="1:10" s="99" customFormat="1" ht="30" customHeight="1">
      <c r="A5" s="208" t="s">
        <v>267</v>
      </c>
      <c r="B5" s="135">
        <v>100</v>
      </c>
      <c r="C5" s="136">
        <v>46.5</v>
      </c>
      <c r="D5" s="172">
        <v>3</v>
      </c>
      <c r="E5" s="172">
        <v>14.1</v>
      </c>
      <c r="F5" s="136">
        <v>8.6</v>
      </c>
      <c r="G5" s="136">
        <v>11.5</v>
      </c>
      <c r="H5" s="136">
        <v>9.4</v>
      </c>
      <c r="I5" s="136">
        <v>6.5</v>
      </c>
      <c r="J5" s="173">
        <v>0.6</v>
      </c>
    </row>
    <row r="6" spans="1:10" s="97" customFormat="1" ht="30" customHeight="1">
      <c r="A6" s="230" t="s">
        <v>207</v>
      </c>
      <c r="B6" s="132">
        <v>100</v>
      </c>
      <c r="C6" s="132">
        <v>42.1</v>
      </c>
      <c r="D6" s="137">
        <v>1.4</v>
      </c>
      <c r="E6" s="134">
        <v>22.3</v>
      </c>
      <c r="F6" s="138">
        <v>11.1</v>
      </c>
      <c r="G6" s="132">
        <v>6.5</v>
      </c>
      <c r="H6" s="138">
        <v>7.5</v>
      </c>
      <c r="I6" s="132">
        <v>8</v>
      </c>
      <c r="J6" s="133">
        <v>1.1000000000000001</v>
      </c>
    </row>
    <row r="7" spans="1:10" ht="30" customHeight="1">
      <c r="A7" s="230" t="s">
        <v>208</v>
      </c>
      <c r="B7" s="132">
        <v>100</v>
      </c>
      <c r="C7" s="132">
        <v>46.6</v>
      </c>
      <c r="D7" s="134">
        <v>3</v>
      </c>
      <c r="E7" s="134">
        <v>13.8</v>
      </c>
      <c r="F7" s="132">
        <v>8.5</v>
      </c>
      <c r="G7" s="132">
        <v>11.7</v>
      </c>
      <c r="H7" s="132">
        <v>9.4</v>
      </c>
      <c r="I7" s="132">
        <v>6.4</v>
      </c>
      <c r="J7" s="133">
        <v>0.6</v>
      </c>
    </row>
    <row r="8" spans="1:10" s="100" customFormat="1" ht="30" customHeight="1">
      <c r="A8" s="223" t="s">
        <v>204</v>
      </c>
      <c r="B8" s="132">
        <v>100</v>
      </c>
      <c r="C8" s="132">
        <v>40.6</v>
      </c>
      <c r="D8" s="134">
        <v>5.8</v>
      </c>
      <c r="E8" s="134">
        <v>14.8</v>
      </c>
      <c r="F8" s="132">
        <v>5.8</v>
      </c>
      <c r="G8" s="132">
        <v>17.8</v>
      </c>
      <c r="H8" s="132">
        <v>7.9</v>
      </c>
      <c r="I8" s="132">
        <v>6.8</v>
      </c>
      <c r="J8" s="133">
        <v>0.6</v>
      </c>
    </row>
    <row r="9" spans="1:10" ht="30" customHeight="1">
      <c r="A9" s="223" t="s">
        <v>260</v>
      </c>
      <c r="B9" s="132">
        <v>100</v>
      </c>
      <c r="C9" s="132">
        <v>50</v>
      </c>
      <c r="D9" s="134">
        <v>2</v>
      </c>
      <c r="E9" s="134">
        <v>11.3</v>
      </c>
      <c r="F9" s="132">
        <v>10.5</v>
      </c>
      <c r="G9" s="132">
        <v>9.5</v>
      </c>
      <c r="H9" s="132">
        <v>10.4</v>
      </c>
      <c r="I9" s="132">
        <v>5.8</v>
      </c>
      <c r="J9" s="133">
        <v>0.5</v>
      </c>
    </row>
    <row r="10" spans="1:10" s="100" customFormat="1" ht="30" customHeight="1">
      <c r="A10" s="22" t="s">
        <v>206</v>
      </c>
      <c r="B10" s="132">
        <v>100</v>
      </c>
      <c r="C10" s="132">
        <v>45.1</v>
      </c>
      <c r="D10" s="134">
        <v>1.8</v>
      </c>
      <c r="E10" s="134">
        <v>19.899999999999999</v>
      </c>
      <c r="F10" s="132">
        <v>7.2</v>
      </c>
      <c r="G10" s="132">
        <v>8.6999999999999993</v>
      </c>
      <c r="H10" s="132">
        <v>8.6</v>
      </c>
      <c r="I10" s="132">
        <v>7.8</v>
      </c>
      <c r="J10" s="133">
        <v>0.8</v>
      </c>
    </row>
  </sheetData>
  <mergeCells count="3">
    <mergeCell ref="B4:J4"/>
    <mergeCell ref="A2:J2"/>
    <mergeCell ref="A3:A4"/>
  </mergeCells>
  <printOptions horizontalCentered="1"/>
  <pageMargins left="0.39370078740157483" right="0.39370078740157483" top="0.59055118110236227" bottom="0.59055118110236227" header="0.31496062992125984" footer="0.31496062992125984"/>
  <pageSetup paperSize="9" scale="67" fitToHeight="0" orientation="landscape" r:id="rId1"/>
  <headerFooter>
    <oddFooter>&amp;C&amp;9Strona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9"/>
  <sheetViews>
    <sheetView zoomScale="90" zoomScaleNormal="90" workbookViewId="0">
      <pane xSplit="1" ySplit="4" topLeftCell="B5" activePane="bottomRight" state="frozen"/>
      <selection activeCell="A2" sqref="A2:P2"/>
      <selection pane="topRight" activeCell="A2" sqref="A2:P2"/>
      <selection pane="bottomLeft" activeCell="A2" sqref="A2:P2"/>
      <selection pane="bottomRight" activeCell="A2" sqref="A2:D2"/>
    </sheetView>
  </sheetViews>
  <sheetFormatPr defaultColWidth="8.28515625" defaultRowHeight="12.75"/>
  <cols>
    <col min="1" max="1" width="45.7109375" style="104" customWidth="1"/>
    <col min="2" max="2" width="30" style="105" customWidth="1"/>
    <col min="3" max="3" width="30" style="106" customWidth="1"/>
    <col min="4" max="4" width="45.7109375" style="107" customWidth="1"/>
    <col min="5" max="16384" width="8.28515625" style="2"/>
  </cols>
  <sheetData>
    <row r="2" spans="1:4" ht="52.5" customHeight="1">
      <c r="A2" s="322" t="s">
        <v>284</v>
      </c>
      <c r="B2" s="322"/>
      <c r="C2" s="322"/>
      <c r="D2" s="322"/>
    </row>
    <row r="3" spans="1:4" ht="61.5" customHeight="1">
      <c r="A3" s="323" t="s">
        <v>36</v>
      </c>
      <c r="B3" s="179" t="s">
        <v>261</v>
      </c>
      <c r="C3" s="181" t="s">
        <v>263</v>
      </c>
      <c r="D3" s="325" t="s">
        <v>37</v>
      </c>
    </row>
    <row r="4" spans="1:4" ht="37.5" customHeight="1" thickBot="1">
      <c r="A4" s="324"/>
      <c r="B4" s="180" t="s">
        <v>199</v>
      </c>
      <c r="C4" s="180" t="s">
        <v>200</v>
      </c>
      <c r="D4" s="326"/>
    </row>
    <row r="5" spans="1:4" s="40" customFormat="1" ht="24.95" customHeight="1">
      <c r="A5" s="98" t="s">
        <v>12</v>
      </c>
      <c r="B5" s="6">
        <v>6625760.9000000004</v>
      </c>
      <c r="C5" s="139">
        <v>25608</v>
      </c>
      <c r="D5" s="161" t="s">
        <v>13</v>
      </c>
    </row>
    <row r="6" spans="1:4" s="8" customFormat="1" ht="16.5" customHeight="1">
      <c r="A6" s="160" t="s">
        <v>38</v>
      </c>
      <c r="B6" s="20">
        <v>276254.29999999993</v>
      </c>
      <c r="C6" s="142">
        <v>987</v>
      </c>
      <c r="D6" s="144" t="s">
        <v>38</v>
      </c>
    </row>
    <row r="7" spans="1:4" s="8" customFormat="1" ht="16.5" customHeight="1">
      <c r="A7" s="160" t="s">
        <v>39</v>
      </c>
      <c r="B7" s="15">
        <v>496445.89999999973</v>
      </c>
      <c r="C7" s="142">
        <v>2235</v>
      </c>
      <c r="D7" s="144" t="s">
        <v>40</v>
      </c>
    </row>
    <row r="8" spans="1:4" s="8" customFormat="1" ht="16.5" customHeight="1">
      <c r="A8" s="160" t="s">
        <v>172</v>
      </c>
      <c r="B8" s="15">
        <v>2052.1999999999998</v>
      </c>
      <c r="C8" s="142">
        <v>14</v>
      </c>
      <c r="D8" s="144" t="s">
        <v>176</v>
      </c>
    </row>
    <row r="9" spans="1:4" s="8" customFormat="1" ht="16.5" customHeight="1">
      <c r="A9" s="160" t="s">
        <v>173</v>
      </c>
      <c r="B9" s="15">
        <v>1511.8</v>
      </c>
      <c r="C9" s="142">
        <v>7</v>
      </c>
      <c r="D9" s="144" t="s">
        <v>177</v>
      </c>
    </row>
    <row r="10" spans="1:4" s="8" customFormat="1" ht="16.5" customHeight="1">
      <c r="A10" s="160" t="s">
        <v>42</v>
      </c>
      <c r="B10" s="15">
        <v>129859</v>
      </c>
      <c r="C10" s="142">
        <v>428</v>
      </c>
      <c r="D10" s="144" t="s">
        <v>43</v>
      </c>
    </row>
    <row r="11" spans="1:4" s="8" customFormat="1" ht="16.5" customHeight="1">
      <c r="A11" s="160" t="s">
        <v>131</v>
      </c>
      <c r="B11" s="15">
        <v>2188</v>
      </c>
      <c r="C11" s="142">
        <v>13</v>
      </c>
      <c r="D11" s="144" t="s">
        <v>131</v>
      </c>
    </row>
    <row r="12" spans="1:4" ht="16.5" customHeight="1">
      <c r="A12" s="160" t="s">
        <v>44</v>
      </c>
      <c r="B12" s="15">
        <v>132224.9</v>
      </c>
      <c r="C12" s="142">
        <v>441</v>
      </c>
      <c r="D12" s="144" t="s">
        <v>45</v>
      </c>
    </row>
    <row r="13" spans="1:4" ht="16.5" customHeight="1">
      <c r="A13" s="160" t="s">
        <v>46</v>
      </c>
      <c r="B13" s="20">
        <v>242687.49999999997</v>
      </c>
      <c r="C13" s="145">
        <v>1109</v>
      </c>
      <c r="D13" s="144" t="s">
        <v>47</v>
      </c>
    </row>
    <row r="14" spans="1:4" ht="16.5" customHeight="1">
      <c r="A14" s="160" t="s">
        <v>50</v>
      </c>
      <c r="B14" s="15">
        <v>296181.5</v>
      </c>
      <c r="C14" s="142">
        <v>1298</v>
      </c>
      <c r="D14" s="144" t="s">
        <v>51</v>
      </c>
    </row>
    <row r="15" spans="1:4" ht="16.5" customHeight="1">
      <c r="A15" s="160" t="s">
        <v>174</v>
      </c>
      <c r="B15" s="15">
        <v>5313.1</v>
      </c>
      <c r="C15" s="142">
        <v>23</v>
      </c>
      <c r="D15" s="144" t="s">
        <v>178</v>
      </c>
    </row>
    <row r="16" spans="1:4" ht="16.5" customHeight="1">
      <c r="A16" s="160" t="s">
        <v>52</v>
      </c>
      <c r="B16" s="15">
        <v>9676.9</v>
      </c>
      <c r="C16" s="142">
        <v>45</v>
      </c>
      <c r="D16" s="144" t="s">
        <v>53</v>
      </c>
    </row>
    <row r="17" spans="1:4" ht="16.5" customHeight="1">
      <c r="A17" s="160" t="s">
        <v>54</v>
      </c>
      <c r="B17" s="15">
        <v>116685.20000000001</v>
      </c>
      <c r="C17" s="142">
        <v>198</v>
      </c>
      <c r="D17" s="144" t="s">
        <v>55</v>
      </c>
    </row>
    <row r="18" spans="1:4" ht="16.5" customHeight="1">
      <c r="A18" s="160" t="s">
        <v>60</v>
      </c>
      <c r="B18" s="20">
        <v>3222201.9000000046</v>
      </c>
      <c r="C18" s="145">
        <v>12381</v>
      </c>
      <c r="D18" s="144" t="s">
        <v>61</v>
      </c>
    </row>
    <row r="19" spans="1:4" ht="16.5" customHeight="1">
      <c r="A19" s="160" t="s">
        <v>62</v>
      </c>
      <c r="B19" s="15">
        <v>224401.99999999994</v>
      </c>
      <c r="C19" s="142">
        <v>745</v>
      </c>
      <c r="D19" s="144" t="s">
        <v>63</v>
      </c>
    </row>
    <row r="20" spans="1:4" ht="16.5" customHeight="1">
      <c r="A20" s="160" t="s">
        <v>175</v>
      </c>
      <c r="B20" s="15">
        <v>2735.9</v>
      </c>
      <c r="C20" s="142">
        <v>7</v>
      </c>
      <c r="D20" s="144" t="s">
        <v>179</v>
      </c>
    </row>
    <row r="21" spans="1:4" ht="16.5" customHeight="1">
      <c r="A21" s="160" t="s">
        <v>66</v>
      </c>
      <c r="B21" s="20">
        <v>55638.8</v>
      </c>
      <c r="C21" s="145">
        <v>296</v>
      </c>
      <c r="D21" s="144" t="s">
        <v>67</v>
      </c>
    </row>
    <row r="22" spans="1:4" ht="16.5" customHeight="1">
      <c r="A22" s="160" t="s">
        <v>72</v>
      </c>
      <c r="B22" s="15">
        <v>561753.99999999977</v>
      </c>
      <c r="C22" s="142">
        <v>2172</v>
      </c>
      <c r="D22" s="144" t="s">
        <v>73</v>
      </c>
    </row>
    <row r="23" spans="1:4" ht="16.5" customHeight="1">
      <c r="A23" s="160" t="s">
        <v>117</v>
      </c>
      <c r="B23" s="15">
        <v>6283.5000000000009</v>
      </c>
      <c r="C23" s="142">
        <v>22</v>
      </c>
      <c r="D23" s="144" t="s">
        <v>118</v>
      </c>
    </row>
    <row r="24" spans="1:4" s="29" customFormat="1" ht="16.5" customHeight="1">
      <c r="A24" s="160" t="s">
        <v>74</v>
      </c>
      <c r="B24" s="15">
        <v>16210.900000000003</v>
      </c>
      <c r="C24" s="142">
        <v>109</v>
      </c>
      <c r="D24" s="144" t="s">
        <v>75</v>
      </c>
    </row>
    <row r="25" spans="1:4" s="28" customFormat="1" ht="16.5" customHeight="1">
      <c r="A25" s="143" t="s">
        <v>134</v>
      </c>
      <c r="B25" s="14">
        <v>825453.6</v>
      </c>
      <c r="C25" s="142">
        <v>3078</v>
      </c>
      <c r="D25" s="144" t="s">
        <v>148</v>
      </c>
    </row>
    <row r="26" spans="1:4" ht="16.5" customHeight="1">
      <c r="A26" s="103" t="s">
        <v>79</v>
      </c>
      <c r="B26" s="3">
        <v>5940228.1999999983</v>
      </c>
      <c r="C26" s="141">
        <v>22191</v>
      </c>
      <c r="D26" s="117" t="s">
        <v>80</v>
      </c>
    </row>
    <row r="27" spans="1:4" ht="16.5" customHeight="1">
      <c r="A27" s="103" t="s">
        <v>81</v>
      </c>
      <c r="B27" s="3">
        <v>685532.7</v>
      </c>
      <c r="C27" s="141">
        <v>3417</v>
      </c>
      <c r="D27" s="117" t="s">
        <v>82</v>
      </c>
    </row>
    <row r="28" spans="1:4" ht="15" customHeight="1">
      <c r="A28" s="232"/>
      <c r="B28" s="4"/>
      <c r="C28" s="233"/>
      <c r="D28" s="234"/>
    </row>
    <row r="29" spans="1:4" ht="79.5" customHeight="1">
      <c r="A29" s="327" t="s">
        <v>262</v>
      </c>
      <c r="B29" s="328"/>
      <c r="C29" s="328"/>
      <c r="D29" s="328"/>
    </row>
  </sheetData>
  <mergeCells count="4">
    <mergeCell ref="A2:D2"/>
    <mergeCell ref="A3:A4"/>
    <mergeCell ref="D3:D4"/>
    <mergeCell ref="A29:D29"/>
  </mergeCells>
  <printOptions horizontalCentered="1"/>
  <pageMargins left="0.39370078740157483" right="0.39370078740157483" top="0.59055118110236227" bottom="0.59055118110236227" header="0.31496062992125984" footer="0.31496062992125984"/>
  <pageSetup paperSize="9" scale="62" fitToHeight="0" orientation="portrait" r:id="rId1"/>
  <headerFooter>
    <oddFooter>&amp;C&amp;9Strona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143"/>
  <sheetViews>
    <sheetView zoomScale="90" zoomScaleNormal="90" workbookViewId="0">
      <pane xSplit="1" ySplit="4" topLeftCell="B5" activePane="bottomRight" state="frozen"/>
      <selection activeCell="A2" sqref="A2:P2"/>
      <selection pane="topRight" activeCell="A2" sqref="A2:P2"/>
      <selection pane="bottomLeft" activeCell="A2" sqref="A2:P2"/>
      <selection pane="bottomRight" activeCell="A2" sqref="A2:D2"/>
    </sheetView>
  </sheetViews>
  <sheetFormatPr defaultColWidth="8.28515625" defaultRowHeight="12.75"/>
  <cols>
    <col min="1" max="1" width="42.85546875" style="104" customWidth="1"/>
    <col min="2" max="2" width="28.5703125" style="105" customWidth="1"/>
    <col min="3" max="3" width="28.5703125" style="106" customWidth="1"/>
    <col min="4" max="4" width="42.85546875" style="107" customWidth="1"/>
    <col min="5" max="16384" width="8.28515625" style="2"/>
  </cols>
  <sheetData>
    <row r="2" spans="1:4" ht="52.5" customHeight="1">
      <c r="A2" s="322" t="s">
        <v>281</v>
      </c>
      <c r="B2" s="329"/>
      <c r="C2" s="329"/>
      <c r="D2" s="329"/>
    </row>
    <row r="3" spans="1:4" ht="61.5" customHeight="1">
      <c r="A3" s="323" t="s">
        <v>36</v>
      </c>
      <c r="B3" s="179" t="s">
        <v>261</v>
      </c>
      <c r="C3" s="181" t="s">
        <v>198</v>
      </c>
      <c r="D3" s="325" t="s">
        <v>37</v>
      </c>
    </row>
    <row r="4" spans="1:4" ht="37.5" customHeight="1" thickBot="1">
      <c r="A4" s="324"/>
      <c r="B4" s="180" t="s">
        <v>199</v>
      </c>
      <c r="C4" s="180" t="s">
        <v>200</v>
      </c>
      <c r="D4" s="326"/>
    </row>
    <row r="5" spans="1:4" s="40" customFormat="1" ht="24.75" customHeight="1">
      <c r="A5" s="98" t="s">
        <v>12</v>
      </c>
      <c r="B5" s="6">
        <v>5940228.1999999983</v>
      </c>
      <c r="C5" s="146">
        <v>22191</v>
      </c>
      <c r="D5" s="9" t="s">
        <v>13</v>
      </c>
    </row>
    <row r="6" spans="1:4" s="8" customFormat="1" ht="16.5" customHeight="1">
      <c r="A6" s="151" t="s">
        <v>38</v>
      </c>
      <c r="B6" s="14">
        <v>271322</v>
      </c>
      <c r="C6" s="148">
        <v>963</v>
      </c>
      <c r="D6" s="21" t="s">
        <v>38</v>
      </c>
    </row>
    <row r="7" spans="1:4" s="8" customFormat="1" ht="16.5" customHeight="1">
      <c r="A7" s="151" t="s">
        <v>39</v>
      </c>
      <c r="B7" s="14">
        <v>430605.6</v>
      </c>
      <c r="C7" s="148">
        <v>1899</v>
      </c>
      <c r="D7" s="21" t="s">
        <v>40</v>
      </c>
    </row>
    <row r="8" spans="1:4" ht="16.5" customHeight="1">
      <c r="A8" s="151" t="s">
        <v>130</v>
      </c>
      <c r="B8" s="14">
        <v>147811.79999999999</v>
      </c>
      <c r="C8" s="148">
        <v>531</v>
      </c>
      <c r="D8" s="11" t="s">
        <v>41</v>
      </c>
    </row>
    <row r="9" spans="1:4" ht="16.5" customHeight="1">
      <c r="A9" s="151" t="s">
        <v>42</v>
      </c>
      <c r="B9" s="14">
        <v>95618</v>
      </c>
      <c r="C9" s="148">
        <v>311</v>
      </c>
      <c r="D9" s="21" t="s">
        <v>43</v>
      </c>
    </row>
    <row r="10" spans="1:4" ht="16.5" customHeight="1">
      <c r="A10" s="151" t="s">
        <v>131</v>
      </c>
      <c r="B10" s="14">
        <v>2188</v>
      </c>
      <c r="C10" s="148">
        <v>13</v>
      </c>
      <c r="D10" s="21" t="s">
        <v>131</v>
      </c>
    </row>
    <row r="11" spans="1:4" ht="16.5" customHeight="1">
      <c r="A11" s="151" t="s">
        <v>44</v>
      </c>
      <c r="B11" s="14">
        <v>126220.6</v>
      </c>
      <c r="C11" s="148">
        <v>421</v>
      </c>
      <c r="D11" s="11" t="s">
        <v>45</v>
      </c>
    </row>
    <row r="12" spans="1:4" ht="16.5" customHeight="1">
      <c r="A12" s="151" t="s">
        <v>46</v>
      </c>
      <c r="B12" s="14">
        <v>187251.8</v>
      </c>
      <c r="C12" s="148">
        <v>904</v>
      </c>
      <c r="D12" s="11" t="s">
        <v>47</v>
      </c>
    </row>
    <row r="13" spans="1:4" ht="16.5" customHeight="1">
      <c r="A13" s="151" t="s">
        <v>48</v>
      </c>
      <c r="B13" s="14">
        <v>21671.9</v>
      </c>
      <c r="C13" s="148">
        <v>51</v>
      </c>
      <c r="D13" s="11" t="s">
        <v>49</v>
      </c>
    </row>
    <row r="14" spans="1:4" ht="16.5" customHeight="1">
      <c r="A14" s="151" t="s">
        <v>50</v>
      </c>
      <c r="B14" s="14">
        <v>268586.59999999998</v>
      </c>
      <c r="C14" s="148">
        <v>1158</v>
      </c>
      <c r="D14" s="11" t="s">
        <v>51</v>
      </c>
    </row>
    <row r="15" spans="1:4" ht="16.5" customHeight="1">
      <c r="A15" s="151" t="s">
        <v>52</v>
      </c>
      <c r="B15" s="14">
        <v>9676.9</v>
      </c>
      <c r="C15" s="148">
        <v>45</v>
      </c>
      <c r="D15" s="11" t="s">
        <v>53</v>
      </c>
    </row>
    <row r="16" spans="1:4" ht="16.5" customHeight="1">
      <c r="A16" s="151" t="s">
        <v>54</v>
      </c>
      <c r="B16" s="14">
        <v>116650.1</v>
      </c>
      <c r="C16" s="148">
        <v>198</v>
      </c>
      <c r="D16" s="11" t="s">
        <v>55</v>
      </c>
    </row>
    <row r="17" spans="1:4" ht="16.5" customHeight="1">
      <c r="A17" s="151" t="s">
        <v>56</v>
      </c>
      <c r="B17" s="14">
        <v>28470.6</v>
      </c>
      <c r="C17" s="148">
        <v>116</v>
      </c>
      <c r="D17" s="11" t="s">
        <v>57</v>
      </c>
    </row>
    <row r="18" spans="1:4" ht="16.5" customHeight="1">
      <c r="A18" s="151" t="s">
        <v>58</v>
      </c>
      <c r="B18" s="14">
        <v>8765.2000000000007</v>
      </c>
      <c r="C18" s="148">
        <v>40</v>
      </c>
      <c r="D18" s="11" t="s">
        <v>59</v>
      </c>
    </row>
    <row r="19" spans="1:4" ht="16.5" customHeight="1">
      <c r="A19" s="151" t="s">
        <v>60</v>
      </c>
      <c r="B19" s="14">
        <v>2990065.4</v>
      </c>
      <c r="C19" s="148">
        <v>11289</v>
      </c>
      <c r="D19" s="11" t="s">
        <v>61</v>
      </c>
    </row>
    <row r="20" spans="1:4" ht="16.5" customHeight="1">
      <c r="A20" s="151" t="s">
        <v>62</v>
      </c>
      <c r="B20" s="14">
        <v>213063</v>
      </c>
      <c r="C20" s="148">
        <v>672</v>
      </c>
      <c r="D20" s="11" t="s">
        <v>63</v>
      </c>
    </row>
    <row r="21" spans="1:4" ht="16.5" customHeight="1">
      <c r="A21" s="151" t="s">
        <v>132</v>
      </c>
      <c r="B21" s="14">
        <v>6780.1</v>
      </c>
      <c r="C21" s="148">
        <v>15</v>
      </c>
      <c r="D21" s="11" t="s">
        <v>146</v>
      </c>
    </row>
    <row r="22" spans="1:4" ht="16.5" customHeight="1">
      <c r="A22" s="151" t="s">
        <v>64</v>
      </c>
      <c r="B22" s="14">
        <v>11790.1</v>
      </c>
      <c r="C22" s="148">
        <v>73</v>
      </c>
      <c r="D22" s="11" t="s">
        <v>65</v>
      </c>
    </row>
    <row r="23" spans="1:4" ht="16.5" customHeight="1">
      <c r="A23" s="151" t="s">
        <v>66</v>
      </c>
      <c r="B23" s="14">
        <v>43358.1</v>
      </c>
      <c r="C23" s="148">
        <v>253</v>
      </c>
      <c r="D23" s="11" t="s">
        <v>67</v>
      </c>
    </row>
    <row r="24" spans="1:4" ht="16.5" customHeight="1">
      <c r="A24" s="151" t="s">
        <v>133</v>
      </c>
      <c r="B24" s="14">
        <v>965.9</v>
      </c>
      <c r="C24" s="148">
        <v>4</v>
      </c>
      <c r="D24" s="144" t="s">
        <v>147</v>
      </c>
    </row>
    <row r="25" spans="1:4" ht="16.5" customHeight="1">
      <c r="A25" s="151" t="s">
        <v>68</v>
      </c>
      <c r="B25" s="14">
        <v>153.4</v>
      </c>
      <c r="C25" s="148">
        <v>1</v>
      </c>
      <c r="D25" s="11" t="s">
        <v>69</v>
      </c>
    </row>
    <row r="26" spans="1:4" ht="16.5" customHeight="1">
      <c r="A26" s="151" t="s">
        <v>70</v>
      </c>
      <c r="B26" s="14">
        <v>15009.7</v>
      </c>
      <c r="C26" s="148">
        <v>62</v>
      </c>
      <c r="D26" s="11" t="s">
        <v>71</v>
      </c>
    </row>
    <row r="27" spans="1:4" ht="16.5" customHeight="1">
      <c r="A27" s="151" t="s">
        <v>72</v>
      </c>
      <c r="B27" s="14">
        <v>521631.8</v>
      </c>
      <c r="C27" s="148">
        <v>1997</v>
      </c>
      <c r="D27" s="11" t="s">
        <v>73</v>
      </c>
    </row>
    <row r="28" spans="1:4" ht="16.5" customHeight="1">
      <c r="A28" s="151" t="s">
        <v>117</v>
      </c>
      <c r="B28" s="14">
        <v>4015.2</v>
      </c>
      <c r="C28" s="148">
        <v>11</v>
      </c>
      <c r="D28" s="21" t="s">
        <v>118</v>
      </c>
    </row>
    <row r="29" spans="1:4" ht="16.5" customHeight="1">
      <c r="A29" s="151" t="s">
        <v>74</v>
      </c>
      <c r="B29" s="14">
        <v>14895.9</v>
      </c>
      <c r="C29" s="148">
        <v>99</v>
      </c>
      <c r="D29" s="21" t="s">
        <v>75</v>
      </c>
    </row>
    <row r="30" spans="1:4" ht="16.5" customHeight="1">
      <c r="A30" s="151" t="s">
        <v>76</v>
      </c>
      <c r="B30" s="14">
        <v>317011.59999999998</v>
      </c>
      <c r="C30" s="148">
        <v>781</v>
      </c>
      <c r="D30" s="11" t="s">
        <v>159</v>
      </c>
    </row>
    <row r="31" spans="1:4" ht="16.5" customHeight="1">
      <c r="A31" s="151" t="s">
        <v>77</v>
      </c>
      <c r="B31" s="14">
        <v>40772.6</v>
      </c>
      <c r="C31" s="148">
        <v>171</v>
      </c>
      <c r="D31" s="11" t="s">
        <v>78</v>
      </c>
    </row>
    <row r="32" spans="1:4" ht="90.75" customHeight="1">
      <c r="A32" s="217" t="s">
        <v>171</v>
      </c>
      <c r="B32" s="14">
        <v>45876.3</v>
      </c>
      <c r="C32" s="148">
        <v>113</v>
      </c>
      <c r="D32" s="238" t="s">
        <v>275</v>
      </c>
    </row>
    <row r="33" spans="1:4" s="8" customFormat="1" ht="22.5" customHeight="1">
      <c r="A33" s="108" t="s">
        <v>100</v>
      </c>
      <c r="B33" s="119"/>
      <c r="C33" s="124"/>
      <c r="D33" s="109"/>
    </row>
    <row r="34" spans="1:4" s="8" customFormat="1" ht="19.5" customHeight="1">
      <c r="A34" s="110" t="s">
        <v>34</v>
      </c>
      <c r="B34" s="3">
        <v>123655.60000000005</v>
      </c>
      <c r="C34" s="147">
        <v>501</v>
      </c>
      <c r="D34" s="9" t="s">
        <v>13</v>
      </c>
    </row>
    <row r="35" spans="1:4" ht="16.5" customHeight="1">
      <c r="A35" s="143" t="s">
        <v>46</v>
      </c>
      <c r="B35" s="14">
        <v>5887.5</v>
      </c>
      <c r="C35" s="148">
        <v>25</v>
      </c>
      <c r="D35" s="11" t="s">
        <v>47</v>
      </c>
    </row>
    <row r="36" spans="1:4" ht="16.5" customHeight="1">
      <c r="A36" s="143" t="s">
        <v>60</v>
      </c>
      <c r="B36" s="14">
        <v>64753.500000000007</v>
      </c>
      <c r="C36" s="148">
        <v>241</v>
      </c>
      <c r="D36" s="11" t="s">
        <v>61</v>
      </c>
    </row>
    <row r="37" spans="1:4" ht="66" customHeight="1">
      <c r="A37" s="217" t="s">
        <v>151</v>
      </c>
      <c r="B37" s="235">
        <v>53014.6</v>
      </c>
      <c r="C37" s="236">
        <v>235</v>
      </c>
      <c r="D37" s="238" t="s">
        <v>160</v>
      </c>
    </row>
    <row r="38" spans="1:4" s="8" customFormat="1" ht="22.5" customHeight="1">
      <c r="A38" s="111" t="s">
        <v>102</v>
      </c>
      <c r="B38" s="119"/>
      <c r="C38" s="124"/>
      <c r="D38" s="237"/>
    </row>
    <row r="39" spans="1:4" s="8" customFormat="1" ht="19.5" customHeight="1">
      <c r="A39" s="110" t="s">
        <v>34</v>
      </c>
      <c r="B39" s="3">
        <v>170853</v>
      </c>
      <c r="C39" s="147">
        <v>705</v>
      </c>
      <c r="D39" s="9" t="s">
        <v>13</v>
      </c>
    </row>
    <row r="40" spans="1:4" ht="16.5" customHeight="1">
      <c r="A40" s="143" t="s">
        <v>50</v>
      </c>
      <c r="B40" s="14">
        <v>1579.2</v>
      </c>
      <c r="C40" s="148">
        <v>10</v>
      </c>
      <c r="D40" s="11" t="s">
        <v>51</v>
      </c>
    </row>
    <row r="41" spans="1:4" ht="16.5" customHeight="1">
      <c r="A41" s="143" t="s">
        <v>60</v>
      </c>
      <c r="B41" s="14">
        <v>62782.999999999993</v>
      </c>
      <c r="C41" s="148">
        <v>269</v>
      </c>
      <c r="D41" s="11" t="s">
        <v>61</v>
      </c>
    </row>
    <row r="42" spans="1:4" ht="54.75" customHeight="1">
      <c r="A42" s="217" t="s">
        <v>135</v>
      </c>
      <c r="B42" s="14">
        <v>106490.8</v>
      </c>
      <c r="C42" s="148">
        <v>426</v>
      </c>
      <c r="D42" s="238" t="s">
        <v>161</v>
      </c>
    </row>
    <row r="43" spans="1:4" s="8" customFormat="1" ht="22.5" customHeight="1">
      <c r="A43" s="152" t="s">
        <v>103</v>
      </c>
      <c r="B43" s="119"/>
      <c r="C43" s="124"/>
      <c r="D43" s="237"/>
    </row>
    <row r="44" spans="1:4" ht="19.5" customHeight="1">
      <c r="A44" s="110" t="s">
        <v>34</v>
      </c>
      <c r="B44" s="3" t="s">
        <v>99</v>
      </c>
      <c r="C44" s="147">
        <v>619</v>
      </c>
      <c r="D44" s="9" t="s">
        <v>13</v>
      </c>
    </row>
    <row r="45" spans="1:4" ht="16.5" customHeight="1">
      <c r="A45" s="143" t="s">
        <v>46</v>
      </c>
      <c r="B45" s="14">
        <v>7941.8</v>
      </c>
      <c r="C45" s="148">
        <v>53</v>
      </c>
      <c r="D45" s="11" t="s">
        <v>47</v>
      </c>
    </row>
    <row r="46" spans="1:4" ht="16.5" customHeight="1">
      <c r="A46" s="143" t="s">
        <v>60</v>
      </c>
      <c r="B46" s="14">
        <v>39354.400000000001</v>
      </c>
      <c r="C46" s="148">
        <v>165</v>
      </c>
      <c r="D46" s="11" t="s">
        <v>61</v>
      </c>
    </row>
    <row r="47" spans="1:4" ht="16.5" customHeight="1">
      <c r="A47" s="143" t="s">
        <v>72</v>
      </c>
      <c r="B47" s="14">
        <v>16792.3</v>
      </c>
      <c r="C47" s="148">
        <v>63</v>
      </c>
      <c r="D47" s="11" t="s">
        <v>73</v>
      </c>
    </row>
    <row r="48" spans="1:4" ht="53.25" customHeight="1">
      <c r="A48" s="217" t="s">
        <v>154</v>
      </c>
      <c r="B48" s="14" t="s">
        <v>99</v>
      </c>
      <c r="C48" s="148">
        <v>338</v>
      </c>
      <c r="D48" s="238" t="s">
        <v>276</v>
      </c>
    </row>
    <row r="49" spans="1:4" s="8" customFormat="1" ht="22.5" customHeight="1">
      <c r="A49" s="111" t="s">
        <v>104</v>
      </c>
      <c r="B49" s="119"/>
      <c r="C49" s="124"/>
      <c r="D49" s="112"/>
    </row>
    <row r="50" spans="1:4" s="8" customFormat="1" ht="19.5" customHeight="1">
      <c r="A50" s="110" t="s">
        <v>34</v>
      </c>
      <c r="B50" s="3">
        <v>84033.600000000006</v>
      </c>
      <c r="C50" s="147">
        <v>451</v>
      </c>
      <c r="D50" s="9" t="s">
        <v>13</v>
      </c>
    </row>
    <row r="51" spans="1:4" ht="16.5" customHeight="1">
      <c r="A51" s="143" t="s">
        <v>60</v>
      </c>
      <c r="B51" s="14">
        <v>60509.599999999999</v>
      </c>
      <c r="C51" s="148">
        <v>366</v>
      </c>
      <c r="D51" s="11" t="s">
        <v>61</v>
      </c>
    </row>
    <row r="52" spans="1:4" ht="39.75" customHeight="1">
      <c r="A52" s="217" t="s">
        <v>136</v>
      </c>
      <c r="B52" s="14">
        <v>23524</v>
      </c>
      <c r="C52" s="148">
        <v>85</v>
      </c>
      <c r="D52" s="238" t="s">
        <v>162</v>
      </c>
    </row>
    <row r="53" spans="1:4" s="8" customFormat="1" ht="22.5" customHeight="1">
      <c r="A53" s="111" t="s">
        <v>105</v>
      </c>
      <c r="B53" s="119"/>
      <c r="C53" s="124"/>
      <c r="D53" s="113"/>
    </row>
    <row r="54" spans="1:4" s="8" customFormat="1" ht="19.5" customHeight="1">
      <c r="A54" s="110" t="s">
        <v>34</v>
      </c>
      <c r="B54" s="3">
        <v>120435.7</v>
      </c>
      <c r="C54" s="147">
        <v>683</v>
      </c>
      <c r="D54" s="9" t="s">
        <v>13</v>
      </c>
    </row>
    <row r="55" spans="1:4" s="8" customFormat="1" ht="16.5" customHeight="1">
      <c r="A55" s="143" t="s">
        <v>44</v>
      </c>
      <c r="B55" s="14">
        <v>7287.9</v>
      </c>
      <c r="C55" s="148">
        <v>37</v>
      </c>
      <c r="D55" s="11" t="s">
        <v>45</v>
      </c>
    </row>
    <row r="56" spans="1:4" ht="16.5" customHeight="1">
      <c r="A56" s="143" t="s">
        <v>50</v>
      </c>
      <c r="B56" s="14">
        <v>17700.2</v>
      </c>
      <c r="C56" s="148">
        <v>70</v>
      </c>
      <c r="D56" s="11" t="s">
        <v>51</v>
      </c>
    </row>
    <row r="57" spans="1:4" ht="41.25" customHeight="1">
      <c r="A57" s="217" t="s">
        <v>137</v>
      </c>
      <c r="B57" s="14">
        <v>95447.6</v>
      </c>
      <c r="C57" s="148">
        <v>576</v>
      </c>
      <c r="D57" s="238" t="s">
        <v>150</v>
      </c>
    </row>
    <row r="58" spans="1:4" s="8" customFormat="1" ht="22.5" customHeight="1">
      <c r="A58" s="111" t="s">
        <v>106</v>
      </c>
      <c r="B58" s="119"/>
      <c r="C58" s="123"/>
      <c r="D58" s="113"/>
    </row>
    <row r="59" spans="1:4" s="8" customFormat="1" ht="19.5" customHeight="1">
      <c r="A59" s="110" t="s">
        <v>34</v>
      </c>
      <c r="B59" s="3">
        <v>746322.1</v>
      </c>
      <c r="C59" s="141">
        <v>3461</v>
      </c>
      <c r="D59" s="9" t="s">
        <v>13</v>
      </c>
    </row>
    <row r="60" spans="1:4" ht="16.5" customHeight="1">
      <c r="A60" s="143" t="s">
        <v>38</v>
      </c>
      <c r="B60" s="14">
        <v>5517</v>
      </c>
      <c r="C60" s="149">
        <v>18</v>
      </c>
      <c r="D60" s="11" t="s">
        <v>38</v>
      </c>
    </row>
    <row r="61" spans="1:4" ht="16.5" customHeight="1">
      <c r="A61" s="143" t="s">
        <v>39</v>
      </c>
      <c r="B61" s="14">
        <v>48090.6</v>
      </c>
      <c r="C61" s="149">
        <v>189</v>
      </c>
      <c r="D61" s="11" t="s">
        <v>40</v>
      </c>
    </row>
    <row r="62" spans="1:4" ht="16.5" customHeight="1">
      <c r="A62" s="143" t="s">
        <v>130</v>
      </c>
      <c r="B62" s="14">
        <v>12672</v>
      </c>
      <c r="C62" s="149">
        <v>55</v>
      </c>
      <c r="D62" s="11" t="s">
        <v>41</v>
      </c>
    </row>
    <row r="63" spans="1:4" ht="16.5" customHeight="1">
      <c r="A63" s="143" t="s">
        <v>42</v>
      </c>
      <c r="B63" s="14">
        <v>26258.9</v>
      </c>
      <c r="C63" s="149">
        <v>87</v>
      </c>
      <c r="D63" s="11" t="s">
        <v>43</v>
      </c>
    </row>
    <row r="64" spans="1:4" ht="16.5" customHeight="1">
      <c r="A64" s="143" t="s">
        <v>46</v>
      </c>
      <c r="B64" s="14">
        <v>55962.5</v>
      </c>
      <c r="C64" s="149">
        <v>232</v>
      </c>
      <c r="D64" s="11" t="s">
        <v>47</v>
      </c>
    </row>
    <row r="65" spans="1:4" ht="16.5" customHeight="1">
      <c r="A65" s="143" t="s">
        <v>50</v>
      </c>
      <c r="B65" s="14">
        <v>17828.099999999999</v>
      </c>
      <c r="C65" s="149">
        <v>83</v>
      </c>
      <c r="D65" s="11" t="s">
        <v>51</v>
      </c>
    </row>
    <row r="66" spans="1:4" ht="16.5" customHeight="1">
      <c r="A66" s="143" t="s">
        <v>60</v>
      </c>
      <c r="B66" s="14">
        <v>419955.4</v>
      </c>
      <c r="C66" s="149">
        <v>2139</v>
      </c>
      <c r="D66" s="11" t="s">
        <v>61</v>
      </c>
    </row>
    <row r="67" spans="1:4" ht="16.5" customHeight="1">
      <c r="A67" s="143" t="s">
        <v>62</v>
      </c>
      <c r="B67" s="14">
        <v>8073.7</v>
      </c>
      <c r="C67" s="149">
        <v>27</v>
      </c>
      <c r="D67" s="11" t="s">
        <v>63</v>
      </c>
    </row>
    <row r="68" spans="1:4" ht="16.5" customHeight="1">
      <c r="A68" s="143" t="s">
        <v>72</v>
      </c>
      <c r="B68" s="14">
        <v>82490.100000000006</v>
      </c>
      <c r="C68" s="149">
        <v>293</v>
      </c>
      <c r="D68" s="11" t="s">
        <v>73</v>
      </c>
    </row>
    <row r="69" spans="1:4" ht="66.75" customHeight="1">
      <c r="A69" s="217" t="s">
        <v>138</v>
      </c>
      <c r="B69" s="14">
        <v>69473.8</v>
      </c>
      <c r="C69" s="142">
        <v>338</v>
      </c>
      <c r="D69" s="238" t="s">
        <v>163</v>
      </c>
    </row>
    <row r="70" spans="1:4" s="8" customFormat="1" ht="22.5" customHeight="1">
      <c r="A70" s="111" t="s">
        <v>107</v>
      </c>
      <c r="B70" s="119"/>
      <c r="C70" s="123"/>
      <c r="D70" s="112"/>
    </row>
    <row r="71" spans="1:4" s="8" customFormat="1" ht="19.5" customHeight="1">
      <c r="A71" s="110" t="s">
        <v>34</v>
      </c>
      <c r="B71" s="3">
        <v>1066384.7</v>
      </c>
      <c r="C71" s="141">
        <v>4618</v>
      </c>
      <c r="D71" s="9" t="s">
        <v>13</v>
      </c>
    </row>
    <row r="72" spans="1:4" ht="16.5" customHeight="1">
      <c r="A72" s="143" t="s">
        <v>38</v>
      </c>
      <c r="B72" s="14">
        <v>4131.6000000000004</v>
      </c>
      <c r="C72" s="142">
        <v>30</v>
      </c>
      <c r="D72" s="11" t="s">
        <v>38</v>
      </c>
    </row>
    <row r="73" spans="1:4" ht="16.5" customHeight="1">
      <c r="A73" s="143" t="s">
        <v>39</v>
      </c>
      <c r="B73" s="14">
        <v>104552.8</v>
      </c>
      <c r="C73" s="142">
        <v>526</v>
      </c>
      <c r="D73" s="11" t="s">
        <v>40</v>
      </c>
    </row>
    <row r="74" spans="1:4" ht="16.5" customHeight="1">
      <c r="A74" s="143" t="s">
        <v>42</v>
      </c>
      <c r="B74" s="14">
        <v>15666.3</v>
      </c>
      <c r="C74" s="142">
        <v>33</v>
      </c>
      <c r="D74" s="11" t="s">
        <v>43</v>
      </c>
    </row>
    <row r="75" spans="1:4" ht="16.5" customHeight="1">
      <c r="A75" s="143" t="s">
        <v>44</v>
      </c>
      <c r="B75" s="14">
        <v>16756.3</v>
      </c>
      <c r="C75" s="148">
        <v>46</v>
      </c>
      <c r="D75" s="11" t="s">
        <v>45</v>
      </c>
    </row>
    <row r="76" spans="1:4" ht="16.5" customHeight="1">
      <c r="A76" s="143" t="s">
        <v>46</v>
      </c>
      <c r="B76" s="14">
        <v>63867.7</v>
      </c>
      <c r="C76" s="148">
        <v>288</v>
      </c>
      <c r="D76" s="11" t="s">
        <v>47</v>
      </c>
    </row>
    <row r="77" spans="1:4" ht="16.5" customHeight="1">
      <c r="A77" s="143" t="s">
        <v>48</v>
      </c>
      <c r="B77" s="14">
        <v>4721.3999999999996</v>
      </c>
      <c r="C77" s="148">
        <v>16</v>
      </c>
      <c r="D77" s="11" t="s">
        <v>49</v>
      </c>
    </row>
    <row r="78" spans="1:4" ht="16.5" customHeight="1">
      <c r="A78" s="143" t="s">
        <v>50</v>
      </c>
      <c r="B78" s="14">
        <v>54350.2</v>
      </c>
      <c r="C78" s="148">
        <v>173</v>
      </c>
      <c r="D78" s="11" t="s">
        <v>51</v>
      </c>
    </row>
    <row r="79" spans="1:4" ht="16.5" customHeight="1">
      <c r="A79" s="143" t="s">
        <v>54</v>
      </c>
      <c r="B79" s="14">
        <v>73681.100000000006</v>
      </c>
      <c r="C79" s="148">
        <v>117</v>
      </c>
      <c r="D79" s="11" t="s">
        <v>55</v>
      </c>
    </row>
    <row r="80" spans="1:4" ht="16.5" customHeight="1">
      <c r="A80" s="143" t="s">
        <v>60</v>
      </c>
      <c r="B80" s="14">
        <v>332589</v>
      </c>
      <c r="C80" s="148">
        <v>2065</v>
      </c>
      <c r="D80" s="11" t="s">
        <v>61</v>
      </c>
    </row>
    <row r="81" spans="1:4" ht="16.5" customHeight="1">
      <c r="A81" s="143" t="s">
        <v>66</v>
      </c>
      <c r="B81" s="14">
        <v>1174.2</v>
      </c>
      <c r="C81" s="148">
        <v>9</v>
      </c>
      <c r="D81" s="11" t="s">
        <v>67</v>
      </c>
    </row>
    <row r="82" spans="1:4" ht="16.5" customHeight="1">
      <c r="A82" s="143" t="s">
        <v>72</v>
      </c>
      <c r="B82" s="14">
        <v>171132.5</v>
      </c>
      <c r="C82" s="148">
        <v>585</v>
      </c>
      <c r="D82" s="11" t="s">
        <v>73</v>
      </c>
    </row>
    <row r="83" spans="1:4" ht="16.5" customHeight="1">
      <c r="A83" s="143" t="s">
        <v>76</v>
      </c>
      <c r="B83" s="14">
        <v>26900.5</v>
      </c>
      <c r="C83" s="148">
        <v>54</v>
      </c>
      <c r="D83" s="11" t="s">
        <v>159</v>
      </c>
    </row>
    <row r="84" spans="1:4" ht="16.5" customHeight="1">
      <c r="A84" s="143" t="s">
        <v>77</v>
      </c>
      <c r="B84" s="14">
        <v>22612.2</v>
      </c>
      <c r="C84" s="148">
        <v>71</v>
      </c>
      <c r="D84" s="11" t="s">
        <v>78</v>
      </c>
    </row>
    <row r="85" spans="1:4" ht="78.75" customHeight="1">
      <c r="A85" s="217" t="s">
        <v>164</v>
      </c>
      <c r="B85" s="14">
        <v>174248.9</v>
      </c>
      <c r="C85" s="148">
        <v>605</v>
      </c>
      <c r="D85" s="238" t="s">
        <v>277</v>
      </c>
    </row>
    <row r="86" spans="1:4" s="8" customFormat="1" ht="22.5" customHeight="1">
      <c r="A86" s="111" t="s">
        <v>108</v>
      </c>
      <c r="B86" s="119"/>
      <c r="C86" s="124"/>
      <c r="D86" s="112"/>
    </row>
    <row r="87" spans="1:4" s="8" customFormat="1" ht="19.5" customHeight="1">
      <c r="A87" s="110" t="s">
        <v>34</v>
      </c>
      <c r="B87" s="3">
        <v>873840.2</v>
      </c>
      <c r="C87" s="147">
        <v>3675</v>
      </c>
      <c r="D87" s="9" t="s">
        <v>13</v>
      </c>
    </row>
    <row r="88" spans="1:4" ht="16.5" customHeight="1">
      <c r="A88" s="143" t="s">
        <v>60</v>
      </c>
      <c r="B88" s="14">
        <v>540285.69999999995</v>
      </c>
      <c r="C88" s="148">
        <v>2371</v>
      </c>
      <c r="D88" s="11" t="s">
        <v>61</v>
      </c>
    </row>
    <row r="89" spans="1:4" ht="78.75" customHeight="1">
      <c r="A89" s="217" t="s">
        <v>139</v>
      </c>
      <c r="B89" s="14">
        <v>333554.5</v>
      </c>
      <c r="C89" s="148">
        <v>1304</v>
      </c>
      <c r="D89" s="238" t="s">
        <v>165</v>
      </c>
    </row>
    <row r="90" spans="1:4" s="8" customFormat="1" ht="22.5" customHeight="1">
      <c r="A90" s="111" t="s">
        <v>109</v>
      </c>
      <c r="B90" s="119"/>
      <c r="C90" s="124"/>
      <c r="D90" s="112"/>
    </row>
    <row r="91" spans="1:4" s="8" customFormat="1" ht="19.5" customHeight="1">
      <c r="A91" s="110" t="s">
        <v>34</v>
      </c>
      <c r="B91" s="3">
        <v>278810.40000000002</v>
      </c>
      <c r="C91" s="147">
        <v>1335</v>
      </c>
      <c r="D91" s="9" t="s">
        <v>13</v>
      </c>
    </row>
    <row r="92" spans="1:4" ht="16.5" customHeight="1">
      <c r="A92" s="143" t="s">
        <v>46</v>
      </c>
      <c r="B92" s="14">
        <v>12935.1</v>
      </c>
      <c r="C92" s="148">
        <v>80</v>
      </c>
      <c r="D92" s="11" t="s">
        <v>47</v>
      </c>
    </row>
    <row r="93" spans="1:4" ht="16.5" customHeight="1">
      <c r="A93" s="143" t="s">
        <v>60</v>
      </c>
      <c r="B93" s="14">
        <v>146323.5</v>
      </c>
      <c r="C93" s="148">
        <v>670</v>
      </c>
      <c r="D93" s="11" t="s">
        <v>61</v>
      </c>
    </row>
    <row r="94" spans="1:4" ht="16.5" customHeight="1">
      <c r="A94" s="143" t="s">
        <v>66</v>
      </c>
      <c r="B94" s="14">
        <v>19392.099999999999</v>
      </c>
      <c r="C94" s="148">
        <v>120</v>
      </c>
      <c r="D94" s="11" t="s">
        <v>67</v>
      </c>
    </row>
    <row r="95" spans="1:4" ht="16.5" customHeight="1">
      <c r="A95" s="143" t="s">
        <v>72</v>
      </c>
      <c r="B95" s="14">
        <v>7573.9</v>
      </c>
      <c r="C95" s="148">
        <v>36</v>
      </c>
      <c r="D95" s="11" t="s">
        <v>73</v>
      </c>
    </row>
    <row r="96" spans="1:4" ht="16.5" customHeight="1">
      <c r="A96" s="143" t="s">
        <v>76</v>
      </c>
      <c r="B96" s="14">
        <v>7707.6</v>
      </c>
      <c r="C96" s="148">
        <v>33</v>
      </c>
      <c r="D96" s="11" t="s">
        <v>159</v>
      </c>
    </row>
    <row r="97" spans="1:4" ht="66.75" customHeight="1">
      <c r="A97" s="217" t="s">
        <v>140</v>
      </c>
      <c r="B97" s="14">
        <v>84878.2</v>
      </c>
      <c r="C97" s="148">
        <v>396</v>
      </c>
      <c r="D97" s="238" t="s">
        <v>278</v>
      </c>
    </row>
    <row r="98" spans="1:4" s="8" customFormat="1" ht="22.5" customHeight="1">
      <c r="A98" s="111" t="s">
        <v>110</v>
      </c>
      <c r="B98" s="119"/>
      <c r="C98" s="124"/>
      <c r="D98" s="112"/>
    </row>
    <row r="99" spans="1:4" ht="19.5" customHeight="1">
      <c r="A99" s="110" t="s">
        <v>34</v>
      </c>
      <c r="B99" s="3" t="s">
        <v>99</v>
      </c>
      <c r="C99" s="147">
        <v>1017</v>
      </c>
      <c r="D99" s="9" t="s">
        <v>13</v>
      </c>
    </row>
    <row r="100" spans="1:4" ht="28.5" customHeight="1">
      <c r="A100" s="217" t="s">
        <v>155</v>
      </c>
      <c r="B100" s="14" t="s">
        <v>99</v>
      </c>
      <c r="C100" s="148">
        <v>1017</v>
      </c>
      <c r="D100" s="238" t="s">
        <v>166</v>
      </c>
    </row>
    <row r="101" spans="1:4" s="8" customFormat="1" ht="22.5" customHeight="1">
      <c r="A101" s="111" t="s">
        <v>111</v>
      </c>
      <c r="B101" s="119"/>
      <c r="C101" s="124"/>
      <c r="D101" s="112"/>
    </row>
    <row r="102" spans="1:4" s="8" customFormat="1" ht="19.5" customHeight="1">
      <c r="A102" s="110" t="s">
        <v>34</v>
      </c>
      <c r="B102" s="3">
        <v>224344.2</v>
      </c>
      <c r="C102" s="147">
        <v>906</v>
      </c>
      <c r="D102" s="9" t="s">
        <v>13</v>
      </c>
    </row>
    <row r="103" spans="1:4" ht="16.5" customHeight="1">
      <c r="A103" s="143" t="s">
        <v>39</v>
      </c>
      <c r="B103" s="14">
        <v>18220.900000000001</v>
      </c>
      <c r="C103" s="148">
        <v>130</v>
      </c>
      <c r="D103" s="11" t="s">
        <v>40</v>
      </c>
    </row>
    <row r="104" spans="1:4" ht="16.5" customHeight="1">
      <c r="A104" s="143" t="s">
        <v>60</v>
      </c>
      <c r="B104" s="14">
        <v>100147.1</v>
      </c>
      <c r="C104" s="148">
        <v>437</v>
      </c>
      <c r="D104" s="11" t="s">
        <v>61</v>
      </c>
    </row>
    <row r="105" spans="1:4" ht="16.5" customHeight="1">
      <c r="A105" s="143" t="s">
        <v>72</v>
      </c>
      <c r="B105" s="14">
        <v>26837.9</v>
      </c>
      <c r="C105" s="148">
        <v>103</v>
      </c>
      <c r="D105" s="11" t="s">
        <v>73</v>
      </c>
    </row>
    <row r="106" spans="1:4" ht="66" customHeight="1">
      <c r="A106" s="217" t="s">
        <v>141</v>
      </c>
      <c r="B106" s="14">
        <v>79138.3</v>
      </c>
      <c r="C106" s="148">
        <v>236</v>
      </c>
      <c r="D106" s="238" t="s">
        <v>279</v>
      </c>
    </row>
    <row r="107" spans="1:4" s="8" customFormat="1" ht="22.5" customHeight="1">
      <c r="A107" s="152" t="s">
        <v>112</v>
      </c>
      <c r="B107" s="119"/>
      <c r="C107" s="124"/>
      <c r="D107" s="112"/>
    </row>
    <row r="108" spans="1:4" s="8" customFormat="1" ht="19.5" customHeight="1">
      <c r="A108" s="110" t="s">
        <v>34</v>
      </c>
      <c r="B108" s="3">
        <v>632182.4</v>
      </c>
      <c r="C108" s="147">
        <v>2383</v>
      </c>
      <c r="D108" s="9" t="s">
        <v>13</v>
      </c>
    </row>
    <row r="109" spans="1:4" ht="16.5" customHeight="1">
      <c r="A109" s="143" t="s">
        <v>38</v>
      </c>
      <c r="B109" s="14">
        <v>55143.4</v>
      </c>
      <c r="C109" s="148">
        <v>224</v>
      </c>
      <c r="D109" s="11" t="s">
        <v>38</v>
      </c>
    </row>
    <row r="110" spans="1:4" ht="16.5" customHeight="1">
      <c r="A110" s="143" t="s">
        <v>39</v>
      </c>
      <c r="B110" s="14">
        <v>23801.1</v>
      </c>
      <c r="C110" s="148">
        <v>114</v>
      </c>
      <c r="D110" s="11" t="s">
        <v>40</v>
      </c>
    </row>
    <row r="111" spans="1:4" ht="16.5" customHeight="1">
      <c r="A111" s="143" t="s">
        <v>130</v>
      </c>
      <c r="B111" s="14">
        <v>74824.100000000006</v>
      </c>
      <c r="C111" s="148">
        <v>226</v>
      </c>
      <c r="D111" s="11" t="s">
        <v>41</v>
      </c>
    </row>
    <row r="112" spans="1:4" ht="16.5" customHeight="1">
      <c r="A112" s="143" t="s">
        <v>42</v>
      </c>
      <c r="B112" s="14">
        <v>3582.7</v>
      </c>
      <c r="C112" s="148">
        <v>27</v>
      </c>
      <c r="D112" s="11" t="s">
        <v>43</v>
      </c>
    </row>
    <row r="113" spans="1:4" ht="16.5" customHeight="1">
      <c r="A113" s="143" t="s">
        <v>46</v>
      </c>
      <c r="B113" s="14">
        <v>15731</v>
      </c>
      <c r="C113" s="148">
        <v>85</v>
      </c>
      <c r="D113" s="11" t="s">
        <v>47</v>
      </c>
    </row>
    <row r="114" spans="1:4" ht="16.5" customHeight="1">
      <c r="A114" s="143" t="s">
        <v>50</v>
      </c>
      <c r="B114" s="14">
        <v>29436.1</v>
      </c>
      <c r="C114" s="148">
        <v>111</v>
      </c>
      <c r="D114" s="11" t="s">
        <v>51</v>
      </c>
    </row>
    <row r="115" spans="1:4" ht="16.5" customHeight="1">
      <c r="A115" s="143" t="s">
        <v>60</v>
      </c>
      <c r="B115" s="14">
        <v>226497</v>
      </c>
      <c r="C115" s="148">
        <v>981</v>
      </c>
      <c r="D115" s="11" t="s">
        <v>61</v>
      </c>
    </row>
    <row r="116" spans="1:4" ht="16.5" customHeight="1">
      <c r="A116" s="143" t="s">
        <v>62</v>
      </c>
      <c r="B116" s="14">
        <v>14430.9</v>
      </c>
      <c r="C116" s="148">
        <v>51</v>
      </c>
      <c r="D116" s="11" t="s">
        <v>63</v>
      </c>
    </row>
    <row r="117" spans="1:4" ht="16.5" customHeight="1">
      <c r="A117" s="143" t="s">
        <v>72</v>
      </c>
      <c r="B117" s="14">
        <v>39762.5</v>
      </c>
      <c r="C117" s="148">
        <v>129</v>
      </c>
      <c r="D117" s="11" t="s">
        <v>73</v>
      </c>
    </row>
    <row r="118" spans="1:4" ht="78" customHeight="1">
      <c r="A118" s="217" t="s">
        <v>142</v>
      </c>
      <c r="B118" s="14">
        <v>148973.6</v>
      </c>
      <c r="C118" s="148">
        <v>435</v>
      </c>
      <c r="D118" s="238" t="s">
        <v>167</v>
      </c>
    </row>
    <row r="119" spans="1:4" s="8" customFormat="1" ht="22.5" customHeight="1">
      <c r="A119" s="111" t="s">
        <v>113</v>
      </c>
      <c r="B119" s="119"/>
      <c r="C119" s="124"/>
      <c r="D119" s="112"/>
    </row>
    <row r="120" spans="1:4" s="8" customFormat="1" ht="19.5" customHeight="1">
      <c r="A120" s="110" t="s">
        <v>34</v>
      </c>
      <c r="B120" s="3">
        <v>134506.20000000001</v>
      </c>
      <c r="C120" s="147">
        <v>405</v>
      </c>
      <c r="D120" s="9" t="s">
        <v>13</v>
      </c>
    </row>
    <row r="121" spans="1:4" ht="16.5" customHeight="1">
      <c r="A121" s="143" t="s">
        <v>50</v>
      </c>
      <c r="B121" s="14">
        <v>11955.5</v>
      </c>
      <c r="C121" s="148">
        <v>42</v>
      </c>
      <c r="D121" s="11" t="s">
        <v>51</v>
      </c>
    </row>
    <row r="122" spans="1:4" ht="16.5" customHeight="1">
      <c r="A122" s="143" t="s">
        <v>60</v>
      </c>
      <c r="B122" s="14">
        <v>19987.3</v>
      </c>
      <c r="C122" s="148">
        <v>85</v>
      </c>
      <c r="D122" s="11" t="s">
        <v>61</v>
      </c>
    </row>
    <row r="123" spans="1:4" ht="54" customHeight="1">
      <c r="A123" s="217" t="s">
        <v>156</v>
      </c>
      <c r="B123" s="14">
        <v>102563.4</v>
      </c>
      <c r="C123" s="148">
        <v>278</v>
      </c>
      <c r="D123" s="238" t="s">
        <v>168</v>
      </c>
    </row>
    <row r="124" spans="1:4" s="8" customFormat="1" ht="22.5" customHeight="1">
      <c r="A124" s="111" t="s">
        <v>114</v>
      </c>
      <c r="B124" s="119"/>
      <c r="C124" s="124"/>
      <c r="D124" s="112"/>
    </row>
    <row r="125" spans="1:4" s="8" customFormat="1" ht="19.5" customHeight="1">
      <c r="A125" s="110" t="s">
        <v>34</v>
      </c>
      <c r="B125" s="73">
        <v>60189.9</v>
      </c>
      <c r="C125" s="150">
        <v>228</v>
      </c>
      <c r="D125" s="9" t="s">
        <v>13</v>
      </c>
    </row>
    <row r="126" spans="1:4" ht="16.5" customHeight="1">
      <c r="A126" s="143" t="s">
        <v>60</v>
      </c>
      <c r="B126" s="14">
        <v>11740.4</v>
      </c>
      <c r="C126" s="148">
        <v>33</v>
      </c>
      <c r="D126" s="11" t="s">
        <v>61</v>
      </c>
    </row>
    <row r="127" spans="1:4" ht="39.75" customHeight="1">
      <c r="A127" s="217" t="s">
        <v>143</v>
      </c>
      <c r="B127" s="14">
        <v>48449.5</v>
      </c>
      <c r="C127" s="148">
        <v>195</v>
      </c>
      <c r="D127" s="238" t="s">
        <v>169</v>
      </c>
    </row>
    <row r="128" spans="1:4" s="8" customFormat="1" ht="22.5" customHeight="1">
      <c r="A128" s="111" t="s">
        <v>115</v>
      </c>
      <c r="B128" s="119"/>
      <c r="C128" s="124"/>
      <c r="D128" s="113"/>
    </row>
    <row r="129" spans="1:17" s="8" customFormat="1" ht="19.5" customHeight="1">
      <c r="A129" s="110" t="s">
        <v>34</v>
      </c>
      <c r="B129" s="3">
        <v>170604.7</v>
      </c>
      <c r="C129" s="147">
        <v>705</v>
      </c>
      <c r="D129" s="9" t="s">
        <v>13</v>
      </c>
    </row>
    <row r="130" spans="1:17" ht="16.5" customHeight="1">
      <c r="A130" s="143" t="s">
        <v>39</v>
      </c>
      <c r="B130" s="14">
        <v>15533.3</v>
      </c>
      <c r="C130" s="148">
        <v>93</v>
      </c>
      <c r="D130" s="11" t="s">
        <v>40</v>
      </c>
    </row>
    <row r="131" spans="1:17" ht="16.5" customHeight="1">
      <c r="A131" s="143" t="s">
        <v>46</v>
      </c>
      <c r="B131" s="14">
        <v>7030.3</v>
      </c>
      <c r="C131" s="148">
        <v>34</v>
      </c>
      <c r="D131" s="11" t="s">
        <v>47</v>
      </c>
    </row>
    <row r="132" spans="1:17" ht="16.5" customHeight="1">
      <c r="A132" s="143" t="s">
        <v>50</v>
      </c>
      <c r="B132" s="14">
        <v>6674.2</v>
      </c>
      <c r="C132" s="148">
        <v>29</v>
      </c>
      <c r="D132" s="11" t="s">
        <v>51</v>
      </c>
    </row>
    <row r="133" spans="1:17" ht="16.5" customHeight="1">
      <c r="A133" s="143" t="s">
        <v>56</v>
      </c>
      <c r="B133" s="14">
        <v>1966.6</v>
      </c>
      <c r="C133" s="148">
        <v>9</v>
      </c>
      <c r="D133" s="11" t="s">
        <v>57</v>
      </c>
    </row>
    <row r="134" spans="1:17" ht="16.5" customHeight="1">
      <c r="A134" s="143" t="s">
        <v>60</v>
      </c>
      <c r="B134" s="14">
        <v>85967.4</v>
      </c>
      <c r="C134" s="148">
        <v>404</v>
      </c>
      <c r="D134" s="11" t="s">
        <v>61</v>
      </c>
    </row>
    <row r="135" spans="1:17" ht="52.5" customHeight="1">
      <c r="A135" s="217" t="s">
        <v>144</v>
      </c>
      <c r="B135" s="14">
        <v>53432.9</v>
      </c>
      <c r="C135" s="148">
        <v>136</v>
      </c>
      <c r="D135" s="238" t="s">
        <v>170</v>
      </c>
    </row>
    <row r="136" spans="1:17" s="8" customFormat="1" ht="22.5" customHeight="1">
      <c r="A136" s="111" t="s">
        <v>116</v>
      </c>
      <c r="B136" s="119"/>
      <c r="C136" s="124"/>
      <c r="D136" s="112"/>
    </row>
    <row r="137" spans="1:17" s="8" customFormat="1" ht="19.5" customHeight="1">
      <c r="A137" s="110" t="s">
        <v>34</v>
      </c>
      <c r="B137" s="3">
        <v>101944</v>
      </c>
      <c r="C137" s="147">
        <v>499</v>
      </c>
      <c r="D137" s="9" t="s">
        <v>13</v>
      </c>
    </row>
    <row r="138" spans="1:17" s="8" customFormat="1" ht="16.5" customHeight="1">
      <c r="A138" s="143" t="s">
        <v>42</v>
      </c>
      <c r="B138" s="14">
        <v>4057.3</v>
      </c>
      <c r="C138" s="148">
        <v>20</v>
      </c>
      <c r="D138" s="11" t="s">
        <v>43</v>
      </c>
    </row>
    <row r="139" spans="1:17" ht="16.5" customHeight="1">
      <c r="A139" s="143" t="s">
        <v>60</v>
      </c>
      <c r="B139" s="14">
        <v>31410.3</v>
      </c>
      <c r="C139" s="142">
        <v>160</v>
      </c>
      <c r="D139" s="11" t="s">
        <v>61</v>
      </c>
    </row>
    <row r="140" spans="1:17" ht="16.5" customHeight="1">
      <c r="A140" s="143" t="s">
        <v>72</v>
      </c>
      <c r="B140" s="14">
        <v>50919.1</v>
      </c>
      <c r="C140" s="142">
        <v>212</v>
      </c>
      <c r="D140" s="11" t="s">
        <v>73</v>
      </c>
    </row>
    <row r="141" spans="1:17" ht="27.75" customHeight="1">
      <c r="A141" s="217" t="s">
        <v>145</v>
      </c>
      <c r="B141" s="14">
        <v>15557.3</v>
      </c>
      <c r="C141" s="142">
        <v>107</v>
      </c>
      <c r="D141" s="238" t="s">
        <v>149</v>
      </c>
    </row>
    <row r="143" spans="1:17" ht="28.5" customHeight="1">
      <c r="A143" s="271" t="s">
        <v>243</v>
      </c>
      <c r="B143" s="271"/>
      <c r="C143" s="271"/>
      <c r="D143" s="271"/>
      <c r="E143" s="231"/>
      <c r="F143" s="231"/>
      <c r="G143" s="231"/>
      <c r="H143" s="231"/>
      <c r="I143" s="231"/>
      <c r="J143" s="231"/>
      <c r="K143" s="231"/>
      <c r="L143" s="231"/>
      <c r="M143" s="231"/>
      <c r="N143" s="231"/>
      <c r="O143" s="231"/>
      <c r="P143" s="231"/>
      <c r="Q143" s="231"/>
    </row>
  </sheetData>
  <mergeCells count="4">
    <mergeCell ref="A2:D2"/>
    <mergeCell ref="A3:A4"/>
    <mergeCell ref="D3:D4"/>
    <mergeCell ref="A143:D143"/>
  </mergeCells>
  <printOptions horizontalCentered="1"/>
  <pageMargins left="0.39370078740157483" right="0.39370078740157483" top="0.59055118110236227" bottom="0.59055118110236227" header="0.31496062992125984" footer="0.31496062992125984"/>
  <pageSetup paperSize="9" scale="66" fitToHeight="0" orientation="portrait" r:id="rId1"/>
  <headerFooter>
    <oddFooter>&amp;C&amp;9Strona &amp;P z &amp;N</oddFooter>
  </headerFooter>
  <rowBreaks count="3" manualBreakCount="3">
    <brk id="48" max="3" man="1"/>
    <brk id="89" max="3" man="1"/>
    <brk id="127"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20"/>
  <sheetViews>
    <sheetView zoomScale="90" zoomScaleNormal="90" workbookViewId="0">
      <pane xSplit="2" ySplit="5" topLeftCell="C6" activePane="bottomRight" state="frozen"/>
      <selection activeCell="A2" sqref="A2:D2"/>
      <selection pane="topRight" activeCell="A2" sqref="A2:D2"/>
      <selection pane="bottomLeft" activeCell="A2" sqref="A2:D2"/>
      <selection pane="bottomRight" activeCell="A2" sqref="A2:P2"/>
    </sheetView>
  </sheetViews>
  <sheetFormatPr defaultRowHeight="12.75"/>
  <cols>
    <col min="1" max="1" width="59.28515625" style="2" customWidth="1"/>
    <col min="2" max="2" width="4.28515625" style="2" customWidth="1"/>
    <col min="3" max="15" width="15.7109375" style="2" customWidth="1"/>
    <col min="16" max="16" width="15.7109375" style="1" customWidth="1"/>
    <col min="17" max="16384" width="9.140625" style="2"/>
  </cols>
  <sheetData>
    <row r="2" spans="1:16" s="26" customFormat="1" ht="30" customHeight="1">
      <c r="A2" s="254" t="s">
        <v>297</v>
      </c>
      <c r="B2" s="254"/>
      <c r="C2" s="254"/>
      <c r="D2" s="254"/>
      <c r="E2" s="254"/>
      <c r="F2" s="254"/>
      <c r="G2" s="254"/>
      <c r="H2" s="254"/>
      <c r="I2" s="254"/>
      <c r="J2" s="254"/>
      <c r="K2" s="254"/>
      <c r="L2" s="254"/>
      <c r="M2" s="254"/>
      <c r="N2" s="254"/>
      <c r="O2" s="254"/>
      <c r="P2" s="254"/>
    </row>
    <row r="3" spans="1:16" ht="24.75" customHeight="1">
      <c r="A3" s="245" t="s">
        <v>285</v>
      </c>
      <c r="B3" s="246"/>
      <c r="C3" s="251">
        <v>2005</v>
      </c>
      <c r="D3" s="258">
        <v>2006</v>
      </c>
      <c r="E3" s="251">
        <v>2007</v>
      </c>
      <c r="F3" s="251">
        <v>2008</v>
      </c>
      <c r="G3" s="251">
        <v>2009</v>
      </c>
      <c r="H3" s="251">
        <v>2010</v>
      </c>
      <c r="I3" s="251">
        <v>2011</v>
      </c>
      <c r="J3" s="251">
        <v>2012</v>
      </c>
      <c r="K3" s="251">
        <v>2013</v>
      </c>
      <c r="L3" s="251">
        <v>2014</v>
      </c>
      <c r="M3" s="251">
        <v>2015</v>
      </c>
      <c r="N3" s="251">
        <v>2016</v>
      </c>
      <c r="O3" s="251">
        <v>2017</v>
      </c>
      <c r="P3" s="255">
        <v>2018</v>
      </c>
    </row>
    <row r="4" spans="1:16" ht="34.5" customHeight="1">
      <c r="A4" s="247"/>
      <c r="B4" s="248"/>
      <c r="C4" s="252"/>
      <c r="D4" s="259"/>
      <c r="E4" s="252"/>
      <c r="F4" s="252"/>
      <c r="G4" s="252"/>
      <c r="H4" s="252"/>
      <c r="I4" s="252"/>
      <c r="J4" s="252"/>
      <c r="K4" s="252"/>
      <c r="L4" s="252"/>
      <c r="M4" s="252"/>
      <c r="N4" s="252"/>
      <c r="O4" s="252"/>
      <c r="P4" s="256"/>
    </row>
    <row r="5" spans="1:16" ht="51" customHeight="1" thickBot="1">
      <c r="A5" s="249"/>
      <c r="B5" s="250"/>
      <c r="C5" s="253"/>
      <c r="D5" s="260"/>
      <c r="E5" s="253"/>
      <c r="F5" s="253"/>
      <c r="G5" s="253"/>
      <c r="H5" s="253"/>
      <c r="I5" s="253"/>
      <c r="J5" s="253"/>
      <c r="K5" s="253"/>
      <c r="L5" s="253"/>
      <c r="M5" s="253"/>
      <c r="N5" s="253"/>
      <c r="O5" s="253"/>
      <c r="P5" s="257"/>
    </row>
    <row r="6" spans="1:16" s="8" customFormat="1" ht="33" customHeight="1">
      <c r="A6" s="239" t="s">
        <v>264</v>
      </c>
      <c r="B6" s="189" t="s">
        <v>0</v>
      </c>
      <c r="C6" s="6">
        <v>91250483.900000006</v>
      </c>
      <c r="D6" s="4">
        <v>107268536</v>
      </c>
      <c r="E6" s="5">
        <v>135714307.90000001</v>
      </c>
      <c r="F6" s="6">
        <v>154630532.90000001</v>
      </c>
      <c r="G6" s="6">
        <v>163576573.5</v>
      </c>
      <c r="H6" s="6">
        <v>170211984</v>
      </c>
      <c r="I6" s="6">
        <v>191280757.69999999</v>
      </c>
      <c r="J6" s="6">
        <v>177376400.40000001</v>
      </c>
      <c r="K6" s="6">
        <v>167006689.69999999</v>
      </c>
      <c r="L6" s="6">
        <v>175420477.40000001</v>
      </c>
      <c r="M6" s="6">
        <v>181772010</v>
      </c>
      <c r="N6" s="7">
        <v>177436303.30000001</v>
      </c>
      <c r="O6" s="116">
        <v>197421977.79999998</v>
      </c>
      <c r="P6" s="122">
        <v>229878445.6186496</v>
      </c>
    </row>
    <row r="7" spans="1:16" s="8" customFormat="1" ht="15" customHeight="1">
      <c r="A7" s="9"/>
      <c r="B7" s="190" t="s">
        <v>1</v>
      </c>
      <c r="C7" s="10" t="s">
        <v>2</v>
      </c>
      <c r="D7" s="115">
        <v>113</v>
      </c>
      <c r="E7" s="115">
        <v>117</v>
      </c>
      <c r="F7" s="3">
        <v>109.9</v>
      </c>
      <c r="G7" s="3">
        <v>105.9</v>
      </c>
      <c r="H7" s="115">
        <v>104.4</v>
      </c>
      <c r="I7" s="115">
        <v>111</v>
      </c>
      <c r="J7" s="115">
        <v>92.7</v>
      </c>
      <c r="K7" s="3">
        <v>94.4</v>
      </c>
      <c r="L7" s="3">
        <v>106.1</v>
      </c>
      <c r="M7" s="115">
        <v>103.9</v>
      </c>
      <c r="N7" s="7">
        <v>97.8</v>
      </c>
      <c r="O7" s="73">
        <v>110.2</v>
      </c>
      <c r="P7" s="12">
        <v>114.3</v>
      </c>
    </row>
    <row r="8" spans="1:16" s="8" customFormat="1" ht="26.25" customHeight="1">
      <c r="A8" s="22" t="s">
        <v>203</v>
      </c>
      <c r="B8" s="190"/>
      <c r="C8" s="10"/>
      <c r="D8" s="4"/>
      <c r="E8" s="5"/>
      <c r="F8" s="3"/>
      <c r="G8" s="3"/>
      <c r="H8" s="3"/>
      <c r="I8" s="3"/>
      <c r="J8" s="3"/>
      <c r="K8" s="3"/>
      <c r="L8" s="3"/>
      <c r="M8" s="3"/>
      <c r="N8" s="7"/>
      <c r="O8" s="73"/>
      <c r="P8" s="12"/>
    </row>
    <row r="9" spans="1:16" s="8" customFormat="1" ht="27" customHeight="1">
      <c r="A9" s="192" t="s">
        <v>265</v>
      </c>
      <c r="B9" s="190" t="s">
        <v>0</v>
      </c>
      <c r="C9" s="3">
        <v>82470040.700000003</v>
      </c>
      <c r="D9" s="4">
        <v>101333211</v>
      </c>
      <c r="E9" s="5">
        <v>125906213</v>
      </c>
      <c r="F9" s="3">
        <v>147350609.5</v>
      </c>
      <c r="G9" s="3">
        <v>154421942.19999999</v>
      </c>
      <c r="H9" s="3">
        <v>160857585.30000001</v>
      </c>
      <c r="I9" s="3">
        <v>182194221.40000001</v>
      </c>
      <c r="J9" s="3">
        <v>170643811.30000001</v>
      </c>
      <c r="K9" s="3">
        <v>158008759.09999999</v>
      </c>
      <c r="L9" s="3">
        <v>165705675.80000001</v>
      </c>
      <c r="M9" s="3">
        <v>171302515.80000001</v>
      </c>
      <c r="N9" s="7">
        <v>166844232.40000001</v>
      </c>
      <c r="O9" s="73">
        <v>186798023.09999999</v>
      </c>
      <c r="P9" s="12">
        <v>218147999.19999999</v>
      </c>
    </row>
    <row r="10" spans="1:16" s="8" customFormat="1" ht="15" customHeight="1">
      <c r="A10" s="13"/>
      <c r="B10" s="190" t="s">
        <v>1</v>
      </c>
      <c r="C10" s="10" t="s">
        <v>2</v>
      </c>
      <c r="D10" s="242">
        <v>118.1</v>
      </c>
      <c r="E10" s="12">
        <v>115.5</v>
      </c>
      <c r="F10" s="73">
        <v>112.1</v>
      </c>
      <c r="G10" s="73">
        <v>105.1</v>
      </c>
      <c r="H10" s="12">
        <v>104.6</v>
      </c>
      <c r="I10" s="12">
        <v>111.8</v>
      </c>
      <c r="J10" s="12">
        <v>93.7</v>
      </c>
      <c r="K10" s="73">
        <v>94.1</v>
      </c>
      <c r="L10" s="73">
        <v>105.9</v>
      </c>
      <c r="M10" s="3">
        <v>103.7</v>
      </c>
      <c r="N10" s="7">
        <v>97.6</v>
      </c>
      <c r="O10" s="73">
        <v>110.9</v>
      </c>
      <c r="P10" s="12">
        <v>114.6</v>
      </c>
    </row>
    <row r="11" spans="1:16" ht="27" customHeight="1">
      <c r="A11" s="22" t="s">
        <v>204</v>
      </c>
      <c r="B11" s="191" t="s">
        <v>0</v>
      </c>
      <c r="C11" s="3">
        <v>38656778</v>
      </c>
      <c r="D11" s="15">
        <v>46697341.100000001</v>
      </c>
      <c r="E11" s="16">
        <v>58313639.600000001</v>
      </c>
      <c r="F11" s="14">
        <v>72092068.700000003</v>
      </c>
      <c r="G11" s="14">
        <v>67283326.599999994</v>
      </c>
      <c r="H11" s="14">
        <v>71800760.900000006</v>
      </c>
      <c r="I11" s="14">
        <v>64177343.5</v>
      </c>
      <c r="J11" s="14">
        <v>63101920.200000003</v>
      </c>
      <c r="K11" s="14">
        <v>52897977</v>
      </c>
      <c r="L11" s="14">
        <v>55516396.799999997</v>
      </c>
      <c r="M11" s="14">
        <v>56702340.5</v>
      </c>
      <c r="N11" s="17">
        <v>53473451.144859999</v>
      </c>
      <c r="O11" s="75">
        <v>65493185.225769997</v>
      </c>
      <c r="P11" s="18">
        <v>69507507.46085</v>
      </c>
    </row>
    <row r="12" spans="1:16" ht="15" customHeight="1">
      <c r="A12" s="19"/>
      <c r="B12" s="191" t="s">
        <v>1</v>
      </c>
      <c r="C12" s="10" t="s">
        <v>2</v>
      </c>
      <c r="D12" s="243">
        <v>116.7</v>
      </c>
      <c r="E12" s="18">
        <v>115</v>
      </c>
      <c r="F12" s="18">
        <v>117.8</v>
      </c>
      <c r="G12" s="18">
        <v>93.7</v>
      </c>
      <c r="H12" s="18">
        <v>107.6</v>
      </c>
      <c r="I12" s="18">
        <v>88.5</v>
      </c>
      <c r="J12" s="18">
        <v>98.7</v>
      </c>
      <c r="K12" s="18">
        <v>86.1</v>
      </c>
      <c r="L12" s="18">
        <v>106.5</v>
      </c>
      <c r="M12" s="18">
        <v>103.1</v>
      </c>
      <c r="N12" s="18">
        <v>95</v>
      </c>
      <c r="O12" s="18">
        <v>120.7</v>
      </c>
      <c r="P12" s="18">
        <v>103.7</v>
      </c>
    </row>
    <row r="13" spans="1:16" ht="27" customHeight="1">
      <c r="A13" s="22" t="s">
        <v>205</v>
      </c>
      <c r="B13" s="191" t="s">
        <v>0</v>
      </c>
      <c r="C13" s="3">
        <v>15391511.5</v>
      </c>
      <c r="D13" s="15">
        <v>19227203.800000001</v>
      </c>
      <c r="E13" s="16">
        <v>22970720</v>
      </c>
      <c r="F13" s="14">
        <v>27747441.800000001</v>
      </c>
      <c r="G13" s="14">
        <v>35816465.700000003</v>
      </c>
      <c r="H13" s="14">
        <v>37689546.899999999</v>
      </c>
      <c r="I13" s="14">
        <v>48915832.5</v>
      </c>
      <c r="J13" s="14">
        <v>46966033</v>
      </c>
      <c r="K13" s="14">
        <v>41019996.700000003</v>
      </c>
      <c r="L13" s="14">
        <v>46950815.5</v>
      </c>
      <c r="M13" s="14">
        <v>44727921.399999999</v>
      </c>
      <c r="N13" s="20">
        <v>37753845.700000003</v>
      </c>
      <c r="O13" s="75">
        <v>45074021.075139999</v>
      </c>
      <c r="P13" s="18">
        <v>54145221.9516</v>
      </c>
    </row>
    <row r="14" spans="1:16" ht="15" customHeight="1">
      <c r="A14" s="11"/>
      <c r="B14" s="191" t="s">
        <v>1</v>
      </c>
      <c r="C14" s="10" t="s">
        <v>2</v>
      </c>
      <c r="D14" s="243">
        <v>120.7</v>
      </c>
      <c r="E14" s="18">
        <v>113.3</v>
      </c>
      <c r="F14" s="18">
        <v>116.5</v>
      </c>
      <c r="G14" s="18">
        <v>128.1</v>
      </c>
      <c r="H14" s="18">
        <v>104.8</v>
      </c>
      <c r="I14" s="18">
        <v>128</v>
      </c>
      <c r="J14" s="18">
        <v>95.9</v>
      </c>
      <c r="K14" s="18">
        <v>88.4</v>
      </c>
      <c r="L14" s="18">
        <v>115.9</v>
      </c>
      <c r="M14" s="18">
        <v>96</v>
      </c>
      <c r="N14" s="18">
        <v>84.9</v>
      </c>
      <c r="O14" s="18">
        <v>118.6</v>
      </c>
      <c r="P14" s="18">
        <v>117.2</v>
      </c>
    </row>
    <row r="15" spans="1:16" ht="27" customHeight="1">
      <c r="A15" s="22" t="s">
        <v>206</v>
      </c>
      <c r="B15" s="191" t="s">
        <v>0</v>
      </c>
      <c r="C15" s="3">
        <v>28421751.199999999</v>
      </c>
      <c r="D15" s="15">
        <v>35408666.100000001</v>
      </c>
      <c r="E15" s="16">
        <v>44621853.399999999</v>
      </c>
      <c r="F15" s="14">
        <v>47511099</v>
      </c>
      <c r="G15" s="14">
        <v>51322149.899999999</v>
      </c>
      <c r="H15" s="14">
        <v>51367277.5</v>
      </c>
      <c r="I15" s="14">
        <v>69101045.400000006</v>
      </c>
      <c r="J15" s="14">
        <v>60575858.100000001</v>
      </c>
      <c r="K15" s="14">
        <v>64090785.399999999</v>
      </c>
      <c r="L15" s="14">
        <v>63238463.5</v>
      </c>
      <c r="M15" s="14">
        <v>69872253.900000006</v>
      </c>
      <c r="N15" s="20">
        <v>75616935.599999994</v>
      </c>
      <c r="O15" s="75">
        <v>76230816.788849995</v>
      </c>
      <c r="P15" s="18">
        <v>94495269.782360002</v>
      </c>
    </row>
    <row r="16" spans="1:16" ht="15" customHeight="1">
      <c r="A16" s="11"/>
      <c r="B16" s="191" t="s">
        <v>1</v>
      </c>
      <c r="C16" s="10" t="s">
        <v>2</v>
      </c>
      <c r="D16" s="243">
        <v>118.5</v>
      </c>
      <c r="E16" s="18">
        <v>117.3</v>
      </c>
      <c r="F16" s="18">
        <v>102.5</v>
      </c>
      <c r="G16" s="18">
        <v>108.4</v>
      </c>
      <c r="H16" s="18">
        <v>100.5</v>
      </c>
      <c r="I16" s="18">
        <v>132.6</v>
      </c>
      <c r="J16" s="18">
        <v>87.4</v>
      </c>
      <c r="K16" s="18">
        <v>107</v>
      </c>
      <c r="L16" s="18">
        <v>98.9</v>
      </c>
      <c r="M16" s="18">
        <v>110</v>
      </c>
      <c r="N16" s="18">
        <v>107.8</v>
      </c>
      <c r="O16" s="18">
        <v>100</v>
      </c>
      <c r="P16" s="18">
        <v>122.5</v>
      </c>
    </row>
    <row r="17" spans="1:16" ht="37.5" customHeight="1">
      <c r="A17" s="22" t="s">
        <v>207</v>
      </c>
      <c r="B17" s="191" t="s">
        <v>0</v>
      </c>
      <c r="C17" s="3">
        <v>1756041.5</v>
      </c>
      <c r="D17" s="15">
        <v>2054025.4</v>
      </c>
      <c r="E17" s="16">
        <v>1967552.1</v>
      </c>
      <c r="F17" s="14">
        <v>2903431.9</v>
      </c>
      <c r="G17" s="14">
        <v>1878052.8</v>
      </c>
      <c r="H17" s="14">
        <v>1508528</v>
      </c>
      <c r="I17" s="14">
        <v>1745481.2</v>
      </c>
      <c r="J17" s="14">
        <v>1864150.6</v>
      </c>
      <c r="K17" s="14">
        <v>1507779.3</v>
      </c>
      <c r="L17" s="14">
        <v>1523805.8</v>
      </c>
      <c r="M17" s="14">
        <v>1527678.1</v>
      </c>
      <c r="N17" s="20">
        <v>1201007.3</v>
      </c>
      <c r="O17" s="75">
        <v>1503823.5</v>
      </c>
      <c r="P17" s="18">
        <v>1590525.5</v>
      </c>
    </row>
    <row r="18" spans="1:16" ht="15" customHeight="1">
      <c r="A18" s="11"/>
      <c r="B18" s="191" t="s">
        <v>1</v>
      </c>
      <c r="C18" s="10" t="s">
        <v>2</v>
      </c>
      <c r="D18" s="243">
        <v>112.7</v>
      </c>
      <c r="E18" s="18">
        <v>89.2</v>
      </c>
      <c r="F18" s="18">
        <v>141.5</v>
      </c>
      <c r="G18" s="18">
        <v>64.8</v>
      </c>
      <c r="H18" s="18">
        <v>80.5</v>
      </c>
      <c r="I18" s="18">
        <v>114.3</v>
      </c>
      <c r="J18" s="18">
        <v>106.8</v>
      </c>
      <c r="K18" s="18">
        <v>82.2</v>
      </c>
      <c r="L18" s="18">
        <v>102.1</v>
      </c>
      <c r="M18" s="18">
        <v>100.7</v>
      </c>
      <c r="N18" s="18">
        <v>78.900000000000006</v>
      </c>
      <c r="O18" s="18">
        <v>124</v>
      </c>
      <c r="P18" s="18">
        <v>103.6</v>
      </c>
    </row>
    <row r="19" spans="1:16" ht="27" customHeight="1">
      <c r="A19" s="193" t="s">
        <v>208</v>
      </c>
      <c r="B19" s="191" t="s">
        <v>0</v>
      </c>
      <c r="C19" s="3">
        <v>80713999.200000003</v>
      </c>
      <c r="D19" s="15">
        <v>99279185.599999994</v>
      </c>
      <c r="E19" s="16">
        <v>123938660.90000001</v>
      </c>
      <c r="F19" s="14">
        <v>144447177.59999999</v>
      </c>
      <c r="G19" s="14">
        <v>152543889.40000001</v>
      </c>
      <c r="H19" s="14">
        <v>159349057.30000001</v>
      </c>
      <c r="I19" s="14">
        <v>180448740.19999999</v>
      </c>
      <c r="J19" s="14">
        <v>168779660.69999999</v>
      </c>
      <c r="K19" s="14">
        <v>156500979.80000001</v>
      </c>
      <c r="L19" s="14">
        <v>164181870</v>
      </c>
      <c r="M19" s="14">
        <v>169774837.69999999</v>
      </c>
      <c r="N19" s="20">
        <v>165643225.10000002</v>
      </c>
      <c r="O19" s="75">
        <v>185294199.58976001</v>
      </c>
      <c r="P19" s="18">
        <v>216557473.69481</v>
      </c>
    </row>
    <row r="20" spans="1:16" ht="15" customHeight="1">
      <c r="A20" s="23"/>
      <c r="B20" s="191" t="s">
        <v>1</v>
      </c>
      <c r="C20" s="10" t="s">
        <v>2</v>
      </c>
      <c r="D20" s="243">
        <v>118.2</v>
      </c>
      <c r="E20" s="18">
        <v>116</v>
      </c>
      <c r="F20" s="18">
        <v>111.7</v>
      </c>
      <c r="G20" s="18">
        <v>105.9</v>
      </c>
      <c r="H20" s="18">
        <v>111.1</v>
      </c>
      <c r="I20" s="18">
        <v>111.8</v>
      </c>
      <c r="J20" s="18">
        <v>93.6</v>
      </c>
      <c r="K20" s="18">
        <v>94.2</v>
      </c>
      <c r="L20" s="18">
        <v>105.9</v>
      </c>
      <c r="M20" s="18">
        <v>103.7</v>
      </c>
      <c r="N20" s="18">
        <v>97.8</v>
      </c>
      <c r="O20" s="18">
        <v>110.8</v>
      </c>
      <c r="P20" s="18">
        <v>114.7</v>
      </c>
    </row>
  </sheetData>
  <mergeCells count="16">
    <mergeCell ref="A3:B5"/>
    <mergeCell ref="F3:F5"/>
    <mergeCell ref="G3:G5"/>
    <mergeCell ref="H3:H5"/>
    <mergeCell ref="A2:P2"/>
    <mergeCell ref="I3:I5"/>
    <mergeCell ref="J3:J5"/>
    <mergeCell ref="P3:P5"/>
    <mergeCell ref="N3:N5"/>
    <mergeCell ref="O3:O5"/>
    <mergeCell ref="K3:K5"/>
    <mergeCell ref="L3:L5"/>
    <mergeCell ref="M3:M5"/>
    <mergeCell ref="C3:C5"/>
    <mergeCell ref="D3:D5"/>
    <mergeCell ref="E3:E5"/>
  </mergeCells>
  <printOptions horizontalCentered="1"/>
  <pageMargins left="0.39370078740157483" right="0.39370078740157483" top="0.59055118110236227" bottom="0.59055118110236227" header="0.31496062992125984" footer="0.31496062992125984"/>
  <pageSetup paperSize="9" scale="49" fitToHeight="0" orientation="landscape" r:id="rId1"/>
  <headerFooter>
    <oddFooter>&amp;C&amp;9Strona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2"/>
  <sheetViews>
    <sheetView zoomScale="90" zoomScaleNormal="90" workbookViewId="0">
      <pane xSplit="1" ySplit="5" topLeftCell="B6" activePane="bottomRight" state="frozen"/>
      <selection activeCell="A2" sqref="A2:P2"/>
      <selection pane="topRight" activeCell="A2" sqref="A2:P2"/>
      <selection pane="bottomLeft" activeCell="A2" sqref="A2:P2"/>
      <selection pane="bottomRight" activeCell="A2" sqref="A2:F2"/>
    </sheetView>
  </sheetViews>
  <sheetFormatPr defaultRowHeight="12.75"/>
  <cols>
    <col min="1" max="1" width="34.28515625" style="31" customWidth="1"/>
    <col min="2" max="2" width="19.42578125" style="36" customWidth="1"/>
    <col min="3" max="6" width="19.42578125" style="31" customWidth="1"/>
    <col min="7" max="16384" width="9.140625" style="31"/>
  </cols>
  <sheetData>
    <row r="2" spans="1:6" ht="52.5" customHeight="1">
      <c r="A2" s="254" t="s">
        <v>298</v>
      </c>
      <c r="B2" s="254"/>
      <c r="C2" s="267"/>
      <c r="D2" s="268"/>
      <c r="E2" s="268"/>
      <c r="F2" s="268"/>
    </row>
    <row r="3" spans="1:6" ht="37.5" customHeight="1">
      <c r="A3" s="261" t="s">
        <v>209</v>
      </c>
      <c r="B3" s="264" t="s">
        <v>197</v>
      </c>
      <c r="C3" s="265"/>
      <c r="D3" s="265"/>
      <c r="E3" s="266"/>
      <c r="F3" s="266"/>
    </row>
    <row r="4" spans="1:6" ht="33" customHeight="1">
      <c r="A4" s="262"/>
      <c r="B4" s="37">
        <v>2014</v>
      </c>
      <c r="C4" s="37">
        <v>2015</v>
      </c>
      <c r="D4" s="33">
        <v>2016</v>
      </c>
      <c r="E4" s="34">
        <v>2017</v>
      </c>
      <c r="F4" s="196">
        <v>2018</v>
      </c>
    </row>
    <row r="5" spans="1:6" ht="37.5" customHeight="1" thickBot="1">
      <c r="A5" s="263"/>
      <c r="B5" s="269" t="s">
        <v>186</v>
      </c>
      <c r="C5" s="270"/>
      <c r="D5" s="270"/>
      <c r="E5" s="270"/>
      <c r="F5" s="270"/>
    </row>
    <row r="6" spans="1:6" ht="33" customHeight="1">
      <c r="A6" s="194" t="s">
        <v>266</v>
      </c>
      <c r="B6" s="55">
        <v>165705675.80000001</v>
      </c>
      <c r="C6" s="168">
        <v>171302515.80000001</v>
      </c>
      <c r="D6" s="55">
        <v>166844232.40000001</v>
      </c>
      <c r="E6" s="55">
        <v>186798023.08976001</v>
      </c>
      <c r="F6" s="5">
        <v>218147999.19480002</v>
      </c>
    </row>
    <row r="7" spans="1:6" ht="19.5" customHeight="1">
      <c r="A7" s="41" t="s">
        <v>19</v>
      </c>
      <c r="B7" s="43">
        <v>14652927.6</v>
      </c>
      <c r="C7" s="42">
        <v>14656722</v>
      </c>
      <c r="D7" s="14">
        <v>13721181.100000001</v>
      </c>
      <c r="E7" s="43">
        <v>16941012.355099998</v>
      </c>
      <c r="F7" s="16">
        <v>21102350.945780002</v>
      </c>
    </row>
    <row r="8" spans="1:6" ht="19.5" customHeight="1">
      <c r="A8" s="41" t="s">
        <v>14</v>
      </c>
      <c r="B8" s="43">
        <v>7444396.7000000002</v>
      </c>
      <c r="C8" s="42">
        <v>8992760.9000000004</v>
      </c>
      <c r="D8" s="14">
        <v>6216637.4000000004</v>
      </c>
      <c r="E8" s="43">
        <v>7931623.8272900004</v>
      </c>
      <c r="F8" s="16">
        <v>9730294.6073599998</v>
      </c>
    </row>
    <row r="9" spans="1:6" ht="19.5" customHeight="1">
      <c r="A9" s="41" t="s">
        <v>20</v>
      </c>
      <c r="B9" s="43">
        <v>5962297.0999999996</v>
      </c>
      <c r="C9" s="42">
        <v>6313380.5</v>
      </c>
      <c r="D9" s="14">
        <v>5807164.5</v>
      </c>
      <c r="E9" s="43">
        <v>6648453.0320300004</v>
      </c>
      <c r="F9" s="16">
        <v>8335855.2109200004</v>
      </c>
    </row>
    <row r="10" spans="1:6" ht="19.5" customHeight="1">
      <c r="A10" s="41" t="s">
        <v>21</v>
      </c>
      <c r="B10" s="43">
        <v>3331701</v>
      </c>
      <c r="C10" s="42">
        <v>4264309</v>
      </c>
      <c r="D10" s="14">
        <v>3952352.4</v>
      </c>
      <c r="E10" s="43">
        <v>4058649.4627999999</v>
      </c>
      <c r="F10" s="16">
        <v>4234313.40723</v>
      </c>
    </row>
    <row r="11" spans="1:6" ht="19.5" customHeight="1">
      <c r="A11" s="41" t="s">
        <v>22</v>
      </c>
      <c r="B11" s="43">
        <v>8434155.5</v>
      </c>
      <c r="C11" s="42">
        <v>9515669.1999999993</v>
      </c>
      <c r="D11" s="14">
        <v>7647243.0999999996</v>
      </c>
      <c r="E11" s="43">
        <v>7862200.0594600001</v>
      </c>
      <c r="F11" s="16">
        <v>9853555.4857200012</v>
      </c>
    </row>
    <row r="12" spans="1:6" ht="19.5" customHeight="1">
      <c r="A12" s="41" t="s">
        <v>23</v>
      </c>
      <c r="B12" s="43">
        <v>15038640.199999999</v>
      </c>
      <c r="C12" s="42">
        <v>18735441.199999999</v>
      </c>
      <c r="D12" s="14">
        <v>18862527.600000001</v>
      </c>
      <c r="E12" s="43">
        <v>18768956.315809999</v>
      </c>
      <c r="F12" s="16">
        <v>22092455.294610001</v>
      </c>
    </row>
    <row r="13" spans="1:6" ht="19.5" customHeight="1">
      <c r="A13" s="41" t="s">
        <v>24</v>
      </c>
      <c r="B13" s="43">
        <v>36185784</v>
      </c>
      <c r="C13" s="42">
        <v>31037243</v>
      </c>
      <c r="D13" s="14">
        <v>34561961.600000001</v>
      </c>
      <c r="E13" s="43">
        <v>38580113.087810002</v>
      </c>
      <c r="F13" s="16">
        <v>39400299.352630004</v>
      </c>
    </row>
    <row r="14" spans="1:6" ht="19.5" customHeight="1">
      <c r="A14" s="41" t="s">
        <v>25</v>
      </c>
      <c r="B14" s="43">
        <v>3400490.4</v>
      </c>
      <c r="C14" s="42">
        <v>3381055.7</v>
      </c>
      <c r="D14" s="14">
        <v>3940057.8</v>
      </c>
      <c r="E14" s="43">
        <v>3827458.68438</v>
      </c>
      <c r="F14" s="16">
        <v>5146411.4536700007</v>
      </c>
    </row>
    <row r="15" spans="1:6" ht="19.5" customHeight="1">
      <c r="A15" s="41" t="s">
        <v>26</v>
      </c>
      <c r="B15" s="43">
        <v>7039118.5999999996</v>
      </c>
      <c r="C15" s="42">
        <v>6515352.2000000002</v>
      </c>
      <c r="D15" s="14">
        <v>5701028.3000000007</v>
      </c>
      <c r="E15" s="43">
        <v>7842313.0905499998</v>
      </c>
      <c r="F15" s="16">
        <v>8709991.0017400011</v>
      </c>
    </row>
    <row r="16" spans="1:6" ht="19.5" customHeight="1">
      <c r="A16" s="41" t="s">
        <v>27</v>
      </c>
      <c r="B16" s="43">
        <v>4339781.2</v>
      </c>
      <c r="C16" s="42">
        <v>4263746.8</v>
      </c>
      <c r="D16" s="14">
        <v>3240292.8</v>
      </c>
      <c r="E16" s="43">
        <v>4915899.4093399998</v>
      </c>
      <c r="F16" s="16">
        <v>5208437.7604099996</v>
      </c>
    </row>
    <row r="17" spans="1:6" ht="19.5" customHeight="1">
      <c r="A17" s="41" t="s">
        <v>28</v>
      </c>
      <c r="B17" s="43">
        <v>10601450.6</v>
      </c>
      <c r="C17" s="42">
        <v>12038824</v>
      </c>
      <c r="D17" s="14">
        <v>11766511.899999999</v>
      </c>
      <c r="E17" s="43">
        <v>14104103.719550001</v>
      </c>
      <c r="F17" s="16">
        <v>16076496.10692</v>
      </c>
    </row>
    <row r="18" spans="1:6" ht="19.5" customHeight="1">
      <c r="A18" s="41" t="s">
        <v>29</v>
      </c>
      <c r="B18" s="43">
        <v>19309607.399999999</v>
      </c>
      <c r="C18" s="42">
        <v>18682050.600000001</v>
      </c>
      <c r="D18" s="14">
        <v>18991829.899999999</v>
      </c>
      <c r="E18" s="43">
        <v>18737148.853379998</v>
      </c>
      <c r="F18" s="16">
        <v>23577957.78297</v>
      </c>
    </row>
    <row r="19" spans="1:6" ht="19.5" customHeight="1">
      <c r="A19" s="41" t="s">
        <v>30</v>
      </c>
      <c r="B19" s="43">
        <v>3835332.3</v>
      </c>
      <c r="C19" s="42">
        <v>4065808.3</v>
      </c>
      <c r="D19" s="14">
        <v>3509135.2</v>
      </c>
      <c r="E19" s="43">
        <v>4371317.2435999997</v>
      </c>
      <c r="F19" s="16">
        <v>5518584.4166799998</v>
      </c>
    </row>
    <row r="20" spans="1:6" ht="19.5" customHeight="1">
      <c r="A20" s="41" t="s">
        <v>31</v>
      </c>
      <c r="B20" s="43">
        <v>4806510.5999999996</v>
      </c>
      <c r="C20" s="42">
        <v>4787458.2</v>
      </c>
      <c r="D20" s="14">
        <v>4730865.4000000004</v>
      </c>
      <c r="E20" s="43">
        <v>4694835.2006299999</v>
      </c>
      <c r="F20" s="16">
        <v>6299595.1845700005</v>
      </c>
    </row>
    <row r="21" spans="1:6" ht="19.5" customHeight="1">
      <c r="A21" s="41" t="s">
        <v>32</v>
      </c>
      <c r="B21" s="43">
        <v>13886292</v>
      </c>
      <c r="C21" s="42">
        <v>15282985.9</v>
      </c>
      <c r="D21" s="14">
        <v>15091479.300000001</v>
      </c>
      <c r="E21" s="43">
        <v>18921615.352219999</v>
      </c>
      <c r="F21" s="16">
        <v>21571144.97538</v>
      </c>
    </row>
    <row r="22" spans="1:6" ht="19.5" customHeight="1">
      <c r="A22" s="41" t="s">
        <v>33</v>
      </c>
      <c r="B22" s="43">
        <v>7437190.5999999996</v>
      </c>
      <c r="C22" s="42">
        <v>8769708.3000000007</v>
      </c>
      <c r="D22" s="14">
        <v>9103964.1000000015</v>
      </c>
      <c r="E22" s="43">
        <v>8592323.3958000001</v>
      </c>
      <c r="F22" s="16">
        <v>11290256.208219999</v>
      </c>
    </row>
  </sheetData>
  <mergeCells count="4">
    <mergeCell ref="A3:A5"/>
    <mergeCell ref="B3:F3"/>
    <mergeCell ref="A2:F2"/>
    <mergeCell ref="B5:F5"/>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4"/>
  <sheetViews>
    <sheetView zoomScale="90" zoomScaleNormal="90" workbookViewId="0">
      <pane xSplit="1" ySplit="5" topLeftCell="B6" activePane="bottomRight" state="frozen"/>
      <selection activeCell="A2" sqref="A2:P2"/>
      <selection pane="topRight" activeCell="A2" sqref="A2:P2"/>
      <selection pane="bottomLeft" activeCell="A2" sqref="A2:P2"/>
      <selection pane="bottomRight" activeCell="A2" sqref="A2:R2"/>
    </sheetView>
  </sheetViews>
  <sheetFormatPr defaultRowHeight="12.75"/>
  <cols>
    <col min="1" max="1" width="27.140625" style="31" customWidth="1"/>
    <col min="2" max="7" width="15.7109375" style="31" customWidth="1"/>
    <col min="8" max="8" width="15.7109375" style="35" customWidth="1"/>
    <col min="9" max="16" width="15.7109375" style="31" customWidth="1"/>
    <col min="17" max="17" width="15.7109375" style="46" customWidth="1"/>
    <col min="18" max="18" width="15.7109375" style="31" customWidth="1"/>
    <col min="19" max="16384" width="9.140625" style="31"/>
  </cols>
  <sheetData>
    <row r="2" spans="1:18" s="39" customFormat="1" ht="30" customHeight="1">
      <c r="A2" s="274" t="s">
        <v>280</v>
      </c>
      <c r="B2" s="275"/>
      <c r="C2" s="275"/>
      <c r="D2" s="275"/>
      <c r="E2" s="275"/>
      <c r="F2" s="275"/>
      <c r="G2" s="275"/>
      <c r="H2" s="275"/>
      <c r="I2" s="275"/>
      <c r="J2" s="275"/>
      <c r="K2" s="275"/>
      <c r="L2" s="275"/>
      <c r="M2" s="275"/>
      <c r="N2" s="275"/>
      <c r="O2" s="275"/>
      <c r="P2" s="275"/>
      <c r="Q2" s="275"/>
      <c r="R2" s="275"/>
    </row>
    <row r="3" spans="1:18" s="38" customFormat="1" ht="30" customHeight="1">
      <c r="A3" s="276" t="s">
        <v>210</v>
      </c>
      <c r="B3" s="279" t="s">
        <v>119</v>
      </c>
      <c r="C3" s="280" t="s">
        <v>128</v>
      </c>
      <c r="D3" s="281"/>
      <c r="E3" s="281"/>
      <c r="F3" s="281"/>
      <c r="G3" s="281"/>
      <c r="H3" s="281"/>
      <c r="I3" s="281"/>
      <c r="J3" s="281"/>
      <c r="K3" s="281"/>
      <c r="L3" s="281"/>
      <c r="M3" s="281"/>
      <c r="N3" s="281"/>
      <c r="O3" s="281"/>
      <c r="P3" s="281"/>
      <c r="Q3" s="281"/>
      <c r="R3" s="281"/>
    </row>
    <row r="4" spans="1:18" ht="33" customHeight="1">
      <c r="A4" s="277"/>
      <c r="B4" s="277"/>
      <c r="C4" s="197" t="s">
        <v>35</v>
      </c>
      <c r="D4" s="197" t="s">
        <v>14</v>
      </c>
      <c r="E4" s="200" t="s">
        <v>15</v>
      </c>
      <c r="F4" s="200" t="s">
        <v>16</v>
      </c>
      <c r="G4" s="200" t="s">
        <v>17</v>
      </c>
      <c r="H4" s="197" t="s">
        <v>23</v>
      </c>
      <c r="I4" s="197" t="s">
        <v>3</v>
      </c>
      <c r="J4" s="199" t="s">
        <v>4</v>
      </c>
      <c r="K4" s="199" t="s">
        <v>5</v>
      </c>
      <c r="L4" s="199" t="s">
        <v>6</v>
      </c>
      <c r="M4" s="195" t="s">
        <v>7</v>
      </c>
      <c r="N4" s="195" t="s">
        <v>8</v>
      </c>
      <c r="O4" s="199" t="s">
        <v>9</v>
      </c>
      <c r="P4" s="199" t="s">
        <v>10</v>
      </c>
      <c r="Q4" s="201" t="s">
        <v>11</v>
      </c>
      <c r="R4" s="198" t="s">
        <v>18</v>
      </c>
    </row>
    <row r="5" spans="1:18" s="32" customFormat="1" ht="33" customHeight="1" thickBot="1">
      <c r="A5" s="278"/>
      <c r="B5" s="272" t="s">
        <v>181</v>
      </c>
      <c r="C5" s="273"/>
      <c r="D5" s="273"/>
      <c r="E5" s="273"/>
      <c r="F5" s="273"/>
      <c r="G5" s="273"/>
      <c r="H5" s="273"/>
      <c r="I5" s="273"/>
      <c r="J5" s="273"/>
      <c r="K5" s="273"/>
      <c r="L5" s="273"/>
      <c r="M5" s="273"/>
      <c r="N5" s="273"/>
      <c r="O5" s="273"/>
      <c r="P5" s="273"/>
      <c r="Q5" s="273"/>
      <c r="R5" s="273"/>
    </row>
    <row r="6" spans="1:18" s="8" customFormat="1" ht="33" customHeight="1">
      <c r="A6" s="207" t="s">
        <v>266</v>
      </c>
      <c r="B6" s="7">
        <v>105436459.40000001</v>
      </c>
      <c r="C6" s="3">
        <v>9686631.9000000004</v>
      </c>
      <c r="D6" s="7">
        <v>5737664.2999999998</v>
      </c>
      <c r="E6" s="3">
        <v>3909448.5</v>
      </c>
      <c r="F6" s="7">
        <v>2035306.3</v>
      </c>
      <c r="G6" s="3">
        <v>5427152.2000000002</v>
      </c>
      <c r="H6" s="7">
        <v>10402674.4</v>
      </c>
      <c r="I6" s="3">
        <v>18259780.199999999</v>
      </c>
      <c r="J6" s="7">
        <v>2953117</v>
      </c>
      <c r="K6" s="3">
        <v>4275114</v>
      </c>
      <c r="L6" s="7">
        <v>2768851.6</v>
      </c>
      <c r="M6" s="3">
        <v>7894826.5999999996</v>
      </c>
      <c r="N6" s="7">
        <v>11538856.5</v>
      </c>
      <c r="O6" s="3">
        <v>2207145.2000000002</v>
      </c>
      <c r="P6" s="7">
        <v>3431429.7</v>
      </c>
      <c r="Q6" s="3">
        <v>10413578.9</v>
      </c>
      <c r="R6" s="51">
        <v>4494882.0999999996</v>
      </c>
    </row>
    <row r="7" spans="1:18" ht="19.5" customHeight="1">
      <c r="A7" s="41" t="s">
        <v>19</v>
      </c>
      <c r="B7" s="20">
        <v>7891210.5</v>
      </c>
      <c r="C7" s="14">
        <v>5921122.0999999996</v>
      </c>
      <c r="D7" s="20">
        <v>138092.9</v>
      </c>
      <c r="E7" s="14" t="s">
        <v>99</v>
      </c>
      <c r="F7" s="20">
        <v>161836.9</v>
      </c>
      <c r="G7" s="14" t="s">
        <v>99</v>
      </c>
      <c r="H7" s="20">
        <v>426454.3</v>
      </c>
      <c r="I7" s="14">
        <v>207615.9</v>
      </c>
      <c r="J7" s="20">
        <v>99283.7</v>
      </c>
      <c r="K7" s="14">
        <v>52510.2</v>
      </c>
      <c r="L7" s="20" t="s">
        <v>99</v>
      </c>
      <c r="M7" s="14">
        <v>65692.5</v>
      </c>
      <c r="N7" s="20">
        <v>449331</v>
      </c>
      <c r="O7" s="14" t="s">
        <v>99</v>
      </c>
      <c r="P7" s="20">
        <v>19584.7</v>
      </c>
      <c r="Q7" s="14">
        <v>122671.8</v>
      </c>
      <c r="R7" s="16">
        <v>61449.3</v>
      </c>
    </row>
    <row r="8" spans="1:18" ht="19.5" customHeight="1">
      <c r="A8" s="41" t="s">
        <v>14</v>
      </c>
      <c r="B8" s="20">
        <v>5099159.5999999996</v>
      </c>
      <c r="C8" s="14">
        <v>74864.5</v>
      </c>
      <c r="D8" s="20" t="s">
        <v>99</v>
      </c>
      <c r="E8" s="14">
        <v>22628.9</v>
      </c>
      <c r="F8" s="20">
        <v>33614.699999999997</v>
      </c>
      <c r="G8" s="14">
        <v>52922.9</v>
      </c>
      <c r="H8" s="20" t="s">
        <v>99</v>
      </c>
      <c r="I8" s="14">
        <v>182041.7</v>
      </c>
      <c r="J8" s="20">
        <v>2538.4</v>
      </c>
      <c r="K8" s="14">
        <v>12211.4</v>
      </c>
      <c r="L8" s="20">
        <v>4987.3</v>
      </c>
      <c r="M8" s="14" t="s">
        <v>99</v>
      </c>
      <c r="N8" s="20" t="s">
        <v>99</v>
      </c>
      <c r="O8" s="14">
        <v>11124.5</v>
      </c>
      <c r="P8" s="20">
        <v>68659</v>
      </c>
      <c r="Q8" s="14">
        <v>133376.6</v>
      </c>
      <c r="R8" s="16">
        <v>180571.9</v>
      </c>
    </row>
    <row r="9" spans="1:18" ht="19.5" customHeight="1">
      <c r="A9" s="41" t="s">
        <v>20</v>
      </c>
      <c r="B9" s="20">
        <v>3570707.1</v>
      </c>
      <c r="C9" s="14" t="s">
        <v>99</v>
      </c>
      <c r="D9" s="20">
        <v>16447</v>
      </c>
      <c r="E9" s="14">
        <v>2808089.4</v>
      </c>
      <c r="F9" s="20">
        <v>11847.9</v>
      </c>
      <c r="G9" s="14">
        <v>22953.9</v>
      </c>
      <c r="H9" s="20">
        <v>36112.9</v>
      </c>
      <c r="I9" s="14">
        <v>308342.3</v>
      </c>
      <c r="J9" s="20" t="s">
        <v>99</v>
      </c>
      <c r="K9" s="14">
        <v>167239.70000000001</v>
      </c>
      <c r="L9" s="20">
        <v>20809.8</v>
      </c>
      <c r="M9" s="14">
        <v>4634.7</v>
      </c>
      <c r="N9" s="20">
        <v>58312.7</v>
      </c>
      <c r="O9" s="14">
        <v>21657.599999999999</v>
      </c>
      <c r="P9" s="20">
        <v>14842.2</v>
      </c>
      <c r="Q9" s="14">
        <v>11983.4</v>
      </c>
      <c r="R9" s="16">
        <v>12941.6</v>
      </c>
    </row>
    <row r="10" spans="1:18" ht="19.5" customHeight="1">
      <c r="A10" s="41" t="s">
        <v>21</v>
      </c>
      <c r="B10" s="20">
        <v>1361490.1</v>
      </c>
      <c r="C10" s="14">
        <v>49698.2</v>
      </c>
      <c r="D10" s="20">
        <v>8694.4</v>
      </c>
      <c r="E10" s="14" t="s">
        <v>99</v>
      </c>
      <c r="F10" s="20">
        <v>1097836.3999999999</v>
      </c>
      <c r="G10" s="14" t="s">
        <v>99</v>
      </c>
      <c r="H10" s="20" t="s">
        <v>99</v>
      </c>
      <c r="I10" s="14">
        <v>30931.3</v>
      </c>
      <c r="J10" s="20">
        <v>3871.3</v>
      </c>
      <c r="K10" s="14" t="s">
        <v>99</v>
      </c>
      <c r="L10" s="20" t="s">
        <v>99</v>
      </c>
      <c r="M10" s="14" t="s">
        <v>99</v>
      </c>
      <c r="N10" s="20" t="s">
        <v>99</v>
      </c>
      <c r="O10" s="14" t="s">
        <v>99</v>
      </c>
      <c r="P10" s="20" t="s">
        <v>99</v>
      </c>
      <c r="Q10" s="14">
        <v>76440.899999999994</v>
      </c>
      <c r="R10" s="16">
        <v>47073.7</v>
      </c>
    </row>
    <row r="11" spans="1:18" ht="19.5" customHeight="1">
      <c r="A11" s="41" t="s">
        <v>22</v>
      </c>
      <c r="B11" s="20">
        <v>4468156.8</v>
      </c>
      <c r="C11" s="14">
        <v>101883.6</v>
      </c>
      <c r="D11" s="20">
        <v>51890.9</v>
      </c>
      <c r="E11" s="14" t="s">
        <v>99</v>
      </c>
      <c r="F11" s="20">
        <v>12503.5</v>
      </c>
      <c r="G11" s="14">
        <v>3095112.3</v>
      </c>
      <c r="H11" s="20">
        <v>58482.6</v>
      </c>
      <c r="I11" s="14">
        <v>380851</v>
      </c>
      <c r="J11" s="20">
        <v>62553.7</v>
      </c>
      <c r="K11" s="14">
        <v>26227</v>
      </c>
      <c r="L11" s="20" t="s">
        <v>99</v>
      </c>
      <c r="M11" s="14" t="s">
        <v>99</v>
      </c>
      <c r="N11" s="20">
        <v>154712.5</v>
      </c>
      <c r="O11" s="14">
        <v>7857.3</v>
      </c>
      <c r="P11" s="20" t="s">
        <v>99</v>
      </c>
      <c r="Q11" s="14">
        <v>133660.29999999999</v>
      </c>
      <c r="R11" s="16">
        <v>134717.6</v>
      </c>
    </row>
    <row r="12" spans="1:18" ht="19.5" customHeight="1">
      <c r="A12" s="41" t="s">
        <v>23</v>
      </c>
      <c r="B12" s="20">
        <v>11092252.300000001</v>
      </c>
      <c r="C12" s="14">
        <v>539079.30000000005</v>
      </c>
      <c r="D12" s="20">
        <v>145231.4</v>
      </c>
      <c r="E12" s="14">
        <v>142707.70000000001</v>
      </c>
      <c r="F12" s="20">
        <v>37811.9</v>
      </c>
      <c r="G12" s="14">
        <v>402919.6</v>
      </c>
      <c r="H12" s="20">
        <v>7185459.0999999996</v>
      </c>
      <c r="I12" s="14">
        <v>573182.69999999995</v>
      </c>
      <c r="J12" s="20">
        <v>85805.7</v>
      </c>
      <c r="K12" s="14">
        <v>183999</v>
      </c>
      <c r="L12" s="20">
        <v>14550.4</v>
      </c>
      <c r="M12" s="14">
        <v>60510.6</v>
      </c>
      <c r="N12" s="20">
        <v>1089960.3999999999</v>
      </c>
      <c r="O12" s="14">
        <v>219646.6</v>
      </c>
      <c r="P12" s="20">
        <v>46428</v>
      </c>
      <c r="Q12" s="14">
        <v>287565.8</v>
      </c>
      <c r="R12" s="16">
        <v>77394.100000000006</v>
      </c>
    </row>
    <row r="13" spans="1:18" ht="19.5" customHeight="1">
      <c r="A13" s="41" t="s">
        <v>24</v>
      </c>
      <c r="B13" s="20">
        <v>23679971</v>
      </c>
      <c r="C13" s="14">
        <v>1073692.8</v>
      </c>
      <c r="D13" s="20">
        <v>465991.8</v>
      </c>
      <c r="E13" s="14">
        <v>610602</v>
      </c>
      <c r="F13" s="20">
        <v>180804.5</v>
      </c>
      <c r="G13" s="14">
        <v>649964</v>
      </c>
      <c r="H13" s="20">
        <v>1159572</v>
      </c>
      <c r="I13" s="14">
        <v>13742952.1</v>
      </c>
      <c r="J13" s="20">
        <v>263001.2</v>
      </c>
      <c r="K13" s="14">
        <v>321759.2</v>
      </c>
      <c r="L13" s="20">
        <v>461654.3</v>
      </c>
      <c r="M13" s="14">
        <v>1057015.7</v>
      </c>
      <c r="N13" s="20">
        <v>888858.6</v>
      </c>
      <c r="O13" s="14">
        <v>232772.9</v>
      </c>
      <c r="P13" s="20">
        <v>874329.1</v>
      </c>
      <c r="Q13" s="14">
        <v>1058853.3999999999</v>
      </c>
      <c r="R13" s="16">
        <v>638147.4</v>
      </c>
    </row>
    <row r="14" spans="1:18" ht="19.5" customHeight="1">
      <c r="A14" s="41" t="s">
        <v>25</v>
      </c>
      <c r="B14" s="20">
        <v>2567843.7999999998</v>
      </c>
      <c r="C14" s="14">
        <v>300974.7</v>
      </c>
      <c r="D14" s="20">
        <v>4633.5</v>
      </c>
      <c r="E14" s="14" t="s">
        <v>99</v>
      </c>
      <c r="F14" s="20">
        <v>82954.2</v>
      </c>
      <c r="G14" s="14" t="s">
        <v>99</v>
      </c>
      <c r="H14" s="20">
        <v>16950.400000000001</v>
      </c>
      <c r="I14" s="14">
        <v>23287.1</v>
      </c>
      <c r="J14" s="20">
        <v>1900733.1</v>
      </c>
      <c r="K14" s="14">
        <v>5294.1</v>
      </c>
      <c r="L14" s="20" t="s">
        <v>99</v>
      </c>
      <c r="M14" s="14" t="s">
        <v>99</v>
      </c>
      <c r="N14" s="20">
        <v>107350.2</v>
      </c>
      <c r="O14" s="14" t="s">
        <v>99</v>
      </c>
      <c r="P14" s="20" t="s">
        <v>99</v>
      </c>
      <c r="Q14" s="14">
        <v>30722.5</v>
      </c>
      <c r="R14" s="16">
        <v>10794.3</v>
      </c>
    </row>
    <row r="15" spans="1:18" ht="19.5" customHeight="1">
      <c r="A15" s="41" t="s">
        <v>26</v>
      </c>
      <c r="B15" s="20">
        <v>4198546.3</v>
      </c>
      <c r="C15" s="14">
        <v>77100.399999999994</v>
      </c>
      <c r="D15" s="20" t="s">
        <v>99</v>
      </c>
      <c r="E15" s="14">
        <v>96726.399999999994</v>
      </c>
      <c r="F15" s="20">
        <v>30714.5</v>
      </c>
      <c r="G15" s="14">
        <v>31675.3</v>
      </c>
      <c r="H15" s="20">
        <v>265015.2</v>
      </c>
      <c r="I15" s="14">
        <v>256818.4</v>
      </c>
      <c r="J15" s="20">
        <v>21448.799999999999</v>
      </c>
      <c r="K15" s="14" t="s">
        <v>99</v>
      </c>
      <c r="L15" s="20" t="s">
        <v>99</v>
      </c>
      <c r="M15" s="14" t="s">
        <v>99</v>
      </c>
      <c r="N15" s="20">
        <v>78407.3</v>
      </c>
      <c r="O15" s="14">
        <v>49835</v>
      </c>
      <c r="P15" s="20">
        <v>2361.3000000000002</v>
      </c>
      <c r="Q15" s="14">
        <v>27574.6</v>
      </c>
      <c r="R15" s="16">
        <v>17865.8</v>
      </c>
    </row>
    <row r="16" spans="1:18" ht="19.5" customHeight="1">
      <c r="A16" s="41" t="s">
        <v>27</v>
      </c>
      <c r="B16" s="20">
        <v>2490415.2000000002</v>
      </c>
      <c r="C16" s="14" t="s">
        <v>99</v>
      </c>
      <c r="D16" s="20" t="s">
        <v>99</v>
      </c>
      <c r="E16" s="14">
        <v>20278.5</v>
      </c>
      <c r="F16" s="20">
        <v>1195</v>
      </c>
      <c r="G16" s="14">
        <v>25301.3</v>
      </c>
      <c r="H16" s="20">
        <v>4813.7</v>
      </c>
      <c r="I16" s="14">
        <v>479043.2</v>
      </c>
      <c r="J16" s="20" t="s">
        <v>99</v>
      </c>
      <c r="K16" s="14" t="s">
        <v>99</v>
      </c>
      <c r="L16" s="20" t="s">
        <v>99</v>
      </c>
      <c r="M16" s="14" t="s">
        <v>99</v>
      </c>
      <c r="N16" s="20">
        <v>9210.2000000000007</v>
      </c>
      <c r="O16" s="14">
        <v>3074.6</v>
      </c>
      <c r="P16" s="20">
        <v>54345.8</v>
      </c>
      <c r="Q16" s="14">
        <v>4702.3</v>
      </c>
      <c r="R16" s="16">
        <v>14442</v>
      </c>
    </row>
    <row r="17" spans="1:18" ht="19.5" customHeight="1">
      <c r="A17" s="41" t="s">
        <v>28</v>
      </c>
      <c r="B17" s="20">
        <v>7782453.2999999998</v>
      </c>
      <c r="C17" s="14" t="s">
        <v>99</v>
      </c>
      <c r="D17" s="20">
        <v>349445.1</v>
      </c>
      <c r="E17" s="14" t="s">
        <v>99</v>
      </c>
      <c r="F17" s="20" t="s">
        <v>99</v>
      </c>
      <c r="G17" s="14">
        <v>63905.8</v>
      </c>
      <c r="H17" s="20">
        <v>69051.3</v>
      </c>
      <c r="I17" s="14">
        <v>445917.1</v>
      </c>
      <c r="J17" s="20" t="s">
        <v>99</v>
      </c>
      <c r="K17" s="14" t="s">
        <v>99</v>
      </c>
      <c r="L17" s="20">
        <v>84619.8</v>
      </c>
      <c r="M17" s="14">
        <v>6045505.2999999998</v>
      </c>
      <c r="N17" s="20">
        <v>96364.9</v>
      </c>
      <c r="O17" s="14">
        <v>19992.5</v>
      </c>
      <c r="P17" s="20">
        <v>168008.3</v>
      </c>
      <c r="Q17" s="14" t="s">
        <v>99</v>
      </c>
      <c r="R17" s="16">
        <v>172670.6</v>
      </c>
    </row>
    <row r="18" spans="1:18" ht="19.5" customHeight="1">
      <c r="A18" s="41" t="s">
        <v>29</v>
      </c>
      <c r="B18" s="20">
        <v>11792256.800000001</v>
      </c>
      <c r="C18" s="14">
        <v>711510.5</v>
      </c>
      <c r="D18" s="20">
        <v>52334.6</v>
      </c>
      <c r="E18" s="14">
        <v>33975.9</v>
      </c>
      <c r="F18" s="20">
        <v>38976.400000000001</v>
      </c>
      <c r="G18" s="14">
        <v>360662.9</v>
      </c>
      <c r="H18" s="20">
        <v>636372</v>
      </c>
      <c r="I18" s="14">
        <v>809351.6</v>
      </c>
      <c r="J18" s="20">
        <v>423448.1</v>
      </c>
      <c r="K18" s="14">
        <v>141483.20000000001</v>
      </c>
      <c r="L18" s="20">
        <v>23667</v>
      </c>
      <c r="M18" s="14">
        <v>101917.4</v>
      </c>
      <c r="N18" s="20">
        <v>8104786.2999999998</v>
      </c>
      <c r="O18" s="14">
        <v>70032.600000000006</v>
      </c>
      <c r="P18" s="20">
        <v>92462.7</v>
      </c>
      <c r="Q18" s="14">
        <v>125663.5</v>
      </c>
      <c r="R18" s="16">
        <v>65612.100000000006</v>
      </c>
    </row>
    <row r="19" spans="1:18" ht="19.5" customHeight="1">
      <c r="A19" s="41" t="s">
        <v>30</v>
      </c>
      <c r="B19" s="20">
        <v>2561737.7999999998</v>
      </c>
      <c r="C19" s="14">
        <v>90165.4</v>
      </c>
      <c r="D19" s="20">
        <v>6386.6</v>
      </c>
      <c r="E19" s="14" t="s">
        <v>99</v>
      </c>
      <c r="F19" s="20">
        <v>2412.8000000000002</v>
      </c>
      <c r="G19" s="14">
        <v>86556.2</v>
      </c>
      <c r="H19" s="20">
        <v>144801.60000000001</v>
      </c>
      <c r="I19" s="14">
        <v>330864.5</v>
      </c>
      <c r="J19" s="20">
        <v>15643.1</v>
      </c>
      <c r="K19" s="14">
        <v>113686.5</v>
      </c>
      <c r="L19" s="20" t="s">
        <v>99</v>
      </c>
      <c r="M19" s="14" t="s">
        <v>99</v>
      </c>
      <c r="N19" s="20">
        <v>130236.3</v>
      </c>
      <c r="O19" s="14">
        <v>1539601.7</v>
      </c>
      <c r="P19" s="20" t="s">
        <v>99</v>
      </c>
      <c r="Q19" s="14">
        <v>24150.2</v>
      </c>
      <c r="R19" s="16">
        <v>6740.1</v>
      </c>
    </row>
    <row r="20" spans="1:18" ht="19.5" customHeight="1">
      <c r="A20" s="41" t="s">
        <v>31</v>
      </c>
      <c r="B20" s="20">
        <v>2563887.6</v>
      </c>
      <c r="C20" s="14" t="s">
        <v>99</v>
      </c>
      <c r="D20" s="20" t="s">
        <v>99</v>
      </c>
      <c r="E20" s="14" t="s">
        <v>99</v>
      </c>
      <c r="F20" s="20" t="s">
        <v>99</v>
      </c>
      <c r="G20" s="14">
        <v>8701.5</v>
      </c>
      <c r="H20" s="20" t="s">
        <v>99</v>
      </c>
      <c r="I20" s="14">
        <v>170438.6</v>
      </c>
      <c r="J20" s="20" t="s">
        <v>99</v>
      </c>
      <c r="K20" s="14" t="s">
        <v>99</v>
      </c>
      <c r="L20" s="20">
        <v>113194.7</v>
      </c>
      <c r="M20" s="14" t="s">
        <v>99</v>
      </c>
      <c r="N20" s="20" t="s">
        <v>99</v>
      </c>
      <c r="O20" s="14">
        <v>5424.9</v>
      </c>
      <c r="P20" s="20">
        <v>1764658.4</v>
      </c>
      <c r="Q20" s="14" t="s">
        <v>99</v>
      </c>
      <c r="R20" s="16">
        <v>106226</v>
      </c>
    </row>
    <row r="21" spans="1:18" ht="19.5" customHeight="1">
      <c r="A21" s="41" t="s">
        <v>32</v>
      </c>
      <c r="B21" s="20">
        <v>11163462.9</v>
      </c>
      <c r="C21" s="14">
        <v>587869.1</v>
      </c>
      <c r="D21" s="20">
        <v>98550.399999999994</v>
      </c>
      <c r="E21" s="14">
        <v>13124.3</v>
      </c>
      <c r="F21" s="20">
        <v>227120.2</v>
      </c>
      <c r="G21" s="14">
        <v>482548.3</v>
      </c>
      <c r="H21" s="20">
        <v>306058.8</v>
      </c>
      <c r="I21" s="14">
        <v>245407.3</v>
      </c>
      <c r="J21" s="20">
        <v>21636.7</v>
      </c>
      <c r="K21" s="14" t="s">
        <v>99</v>
      </c>
      <c r="L21" s="20" t="s">
        <v>99</v>
      </c>
      <c r="M21" s="14" t="s">
        <v>99</v>
      </c>
      <c r="N21" s="20">
        <v>262383.59999999998</v>
      </c>
      <c r="O21" s="14">
        <v>7013.3</v>
      </c>
      <c r="P21" s="20" t="s">
        <v>99</v>
      </c>
      <c r="Q21" s="14">
        <v>8173108.9000000004</v>
      </c>
      <c r="R21" s="16">
        <v>176751.8</v>
      </c>
    </row>
    <row r="22" spans="1:18" ht="19.5" customHeight="1">
      <c r="A22" s="41" t="s">
        <v>33</v>
      </c>
      <c r="B22" s="20">
        <v>3152908.3</v>
      </c>
      <c r="C22" s="14">
        <v>28222.5</v>
      </c>
      <c r="D22" s="20">
        <v>9726.7000000000007</v>
      </c>
      <c r="E22" s="14" t="s">
        <v>99</v>
      </c>
      <c r="F22" s="20">
        <v>86414.3</v>
      </c>
      <c r="G22" s="14" t="s">
        <v>99</v>
      </c>
      <c r="H22" s="20" t="s">
        <v>99</v>
      </c>
      <c r="I22" s="14">
        <v>72735.399999999994</v>
      </c>
      <c r="J22" s="20">
        <v>639.20000000000005</v>
      </c>
      <c r="K22" s="14" t="s">
        <v>99</v>
      </c>
      <c r="L22" s="20" t="s">
        <v>99</v>
      </c>
      <c r="M22" s="14" t="s">
        <v>99</v>
      </c>
      <c r="N22" s="20" t="s">
        <v>99</v>
      </c>
      <c r="O22" s="14" t="s">
        <v>99</v>
      </c>
      <c r="P22" s="20" t="s">
        <v>99</v>
      </c>
      <c r="Q22" s="14">
        <v>73806.100000000006</v>
      </c>
      <c r="R22" s="16">
        <v>2771483.8</v>
      </c>
    </row>
    <row r="24" spans="1:18" ht="28.5" customHeight="1">
      <c r="A24" s="271" t="s">
        <v>233</v>
      </c>
      <c r="B24" s="271"/>
      <c r="C24" s="271"/>
      <c r="D24" s="271"/>
      <c r="E24" s="271"/>
      <c r="F24" s="271"/>
      <c r="G24" s="271"/>
      <c r="H24" s="271"/>
      <c r="I24" s="271"/>
      <c r="J24" s="271"/>
      <c r="K24" s="271"/>
      <c r="L24" s="271"/>
      <c r="M24" s="271"/>
      <c r="N24" s="271"/>
      <c r="O24" s="271"/>
      <c r="P24" s="271"/>
      <c r="Q24" s="271"/>
      <c r="R24" s="271"/>
    </row>
  </sheetData>
  <mergeCells count="6">
    <mergeCell ref="A24:R24"/>
    <mergeCell ref="B5:R5"/>
    <mergeCell ref="A2:R2"/>
    <mergeCell ref="A3:A5"/>
    <mergeCell ref="B3:B4"/>
    <mergeCell ref="C3:R3"/>
  </mergeCells>
  <printOptions horizontalCentered="1"/>
  <pageMargins left="0.39370078740157483" right="0.39370078740157483" top="0.59055118110236227" bottom="0.59055118110236227" header="0.31496062992125984" footer="0.31496062992125984"/>
  <pageSetup paperSize="9" scale="47" fitToHeight="0" orientation="landscape" r:id="rId1"/>
  <headerFooter>
    <oddFooter>&amp;C&amp;9Strona &amp;P z &amp;N</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0"/>
  <sheetViews>
    <sheetView zoomScale="90" zoomScaleNormal="90" workbookViewId="0">
      <pane xSplit="2" ySplit="5" topLeftCell="C6" activePane="bottomRight" state="frozen"/>
      <selection activeCell="A2" sqref="A2:P2"/>
      <selection pane="topRight" activeCell="A2" sqref="A2:P2"/>
      <selection pane="bottomLeft" activeCell="A2" sqref="A2:P2"/>
      <selection pane="bottomRight" activeCell="A2" sqref="A2:H2"/>
    </sheetView>
  </sheetViews>
  <sheetFormatPr defaultColWidth="9.140625" defaultRowHeight="12.75"/>
  <cols>
    <col min="1" max="1" width="27.140625" style="31" customWidth="1"/>
    <col min="2" max="2" width="8.5703125" style="31" customWidth="1"/>
    <col min="3" max="3" width="17.7109375" style="24" customWidth="1"/>
    <col min="4" max="4" width="20" style="24" customWidth="1"/>
    <col min="5" max="5" width="24.28515625" style="24" customWidth="1"/>
    <col min="6" max="6" width="17.7109375" style="24" customWidth="1"/>
    <col min="7" max="7" width="20" style="24" customWidth="1"/>
    <col min="8" max="8" width="24.28515625" style="35" customWidth="1"/>
    <col min="9" max="16384" width="9.140625" style="31"/>
  </cols>
  <sheetData>
    <row r="2" spans="1:8" ht="57" customHeight="1">
      <c r="A2" s="282" t="s">
        <v>299</v>
      </c>
      <c r="B2" s="282"/>
      <c r="C2" s="282"/>
      <c r="D2" s="282"/>
      <c r="E2" s="282"/>
      <c r="F2" s="282"/>
      <c r="G2" s="282"/>
      <c r="H2" s="283"/>
    </row>
    <row r="3" spans="1:8" ht="33" customHeight="1">
      <c r="A3" s="284" t="s">
        <v>129</v>
      </c>
      <c r="B3" s="285"/>
      <c r="C3" s="290" t="s">
        <v>157</v>
      </c>
      <c r="D3" s="291"/>
      <c r="E3" s="292"/>
      <c r="F3" s="290" t="s">
        <v>158</v>
      </c>
      <c r="G3" s="291"/>
      <c r="H3" s="291"/>
    </row>
    <row r="4" spans="1:8" ht="75" customHeight="1">
      <c r="A4" s="286"/>
      <c r="B4" s="287"/>
      <c r="C4" s="118" t="s">
        <v>120</v>
      </c>
      <c r="D4" s="47" t="s">
        <v>152</v>
      </c>
      <c r="E4" s="169" t="s">
        <v>180</v>
      </c>
      <c r="F4" s="48" t="s">
        <v>120</v>
      </c>
      <c r="G4" s="48" t="s">
        <v>153</v>
      </c>
      <c r="H4" s="202" t="s">
        <v>180</v>
      </c>
    </row>
    <row r="5" spans="1:8" ht="33" customHeight="1" thickBot="1">
      <c r="A5" s="288"/>
      <c r="B5" s="289"/>
      <c r="C5" s="293" t="s">
        <v>184</v>
      </c>
      <c r="D5" s="294"/>
      <c r="E5" s="294"/>
      <c r="F5" s="294"/>
      <c r="G5" s="294"/>
      <c r="H5" s="294"/>
    </row>
    <row r="6" spans="1:8" ht="33" customHeight="1">
      <c r="A6" s="49" t="s">
        <v>266</v>
      </c>
      <c r="B6" s="50">
        <v>2014</v>
      </c>
      <c r="C6" s="3">
        <v>88335585</v>
      </c>
      <c r="D6" s="3">
        <v>63951310</v>
      </c>
      <c r="E6" s="4">
        <v>24384275</v>
      </c>
      <c r="F6" s="55">
        <v>88335585</v>
      </c>
      <c r="G6" s="3">
        <v>63951310</v>
      </c>
      <c r="H6" s="56">
        <v>24384275</v>
      </c>
    </row>
    <row r="7" spans="1:8" ht="15" customHeight="1">
      <c r="A7" s="52"/>
      <c r="B7" s="50">
        <v>2015</v>
      </c>
      <c r="C7" s="3">
        <v>88637432.400000006</v>
      </c>
      <c r="D7" s="3">
        <v>63913479.200000003</v>
      </c>
      <c r="E7" s="4">
        <v>24723953.199999999</v>
      </c>
      <c r="F7" s="55">
        <v>88637432.400000006</v>
      </c>
      <c r="G7" s="3">
        <v>63913479.200000003</v>
      </c>
      <c r="H7" s="56">
        <v>24723953.199999999</v>
      </c>
    </row>
    <row r="8" spans="1:8" ht="15" customHeight="1">
      <c r="A8" s="53"/>
      <c r="B8" s="50">
        <v>2016</v>
      </c>
      <c r="C8" s="3">
        <v>77096295.799999997</v>
      </c>
      <c r="D8" s="3">
        <v>58417138</v>
      </c>
      <c r="E8" s="4">
        <v>18679157.800000001</v>
      </c>
      <c r="F8" s="55">
        <v>77096295.799999997</v>
      </c>
      <c r="G8" s="3">
        <v>58417138</v>
      </c>
      <c r="H8" s="56">
        <v>18679157.800000001</v>
      </c>
    </row>
    <row r="9" spans="1:8" ht="15" customHeight="1">
      <c r="A9" s="53"/>
      <c r="B9" s="50">
        <v>2017</v>
      </c>
      <c r="C9" s="55">
        <v>86619605.799999997</v>
      </c>
      <c r="D9" s="55">
        <v>66134607.100000001</v>
      </c>
      <c r="E9" s="56">
        <v>20484998.699999999</v>
      </c>
      <c r="F9" s="55">
        <v>86619605.799999997</v>
      </c>
      <c r="G9" s="55">
        <v>66134607.100000001</v>
      </c>
      <c r="H9" s="56">
        <v>20484998.699999999</v>
      </c>
    </row>
    <row r="10" spans="1:8" ht="15" customHeight="1">
      <c r="A10" s="53"/>
      <c r="B10" s="50">
        <v>2018</v>
      </c>
      <c r="C10" s="3">
        <v>105436459.40000001</v>
      </c>
      <c r="D10" s="55">
        <v>83143124.599999994</v>
      </c>
      <c r="E10" s="56">
        <v>22293334.800000001</v>
      </c>
      <c r="F10" s="55">
        <v>105436459.40000001</v>
      </c>
      <c r="G10" s="55">
        <v>83143124.599999994</v>
      </c>
      <c r="H10" s="56">
        <v>22293334.800000001</v>
      </c>
    </row>
    <row r="11" spans="1:8" ht="21" customHeight="1">
      <c r="A11" s="58" t="s">
        <v>83</v>
      </c>
      <c r="B11" s="59">
        <v>2014</v>
      </c>
      <c r="C11" s="20">
        <f>6265685.5</f>
        <v>6265685.5</v>
      </c>
      <c r="D11" s="43">
        <f>4130502.6</f>
        <v>4130502.6</v>
      </c>
      <c r="E11" s="43">
        <v>2135182.9</v>
      </c>
      <c r="F11" s="43">
        <f>8009484.1</f>
        <v>8009484.0999999996</v>
      </c>
      <c r="G11" s="43">
        <f>5659299.1</f>
        <v>5659299.0999999996</v>
      </c>
      <c r="H11" s="60">
        <v>2350185</v>
      </c>
    </row>
    <row r="12" spans="1:8" ht="15" customHeight="1">
      <c r="A12" s="58"/>
      <c r="B12" s="59">
        <v>2015</v>
      </c>
      <c r="C12" s="61">
        <v>6727395</v>
      </c>
      <c r="D12" s="62">
        <v>4208666.4000000004</v>
      </c>
      <c r="E12" s="62">
        <v>2518728.6</v>
      </c>
      <c r="F12" s="43">
        <f>8518675</f>
        <v>8518675</v>
      </c>
      <c r="G12" s="43">
        <f>5693578.9</f>
        <v>5693578.9000000004</v>
      </c>
      <c r="H12" s="60">
        <v>2825096.1</v>
      </c>
    </row>
    <row r="13" spans="1:8" ht="15" customHeight="1">
      <c r="A13" s="58"/>
      <c r="B13" s="59">
        <v>2016</v>
      </c>
      <c r="C13" s="63">
        <v>5679880.5999999996</v>
      </c>
      <c r="D13" s="43">
        <f>3871911.9</f>
        <v>3871911.9</v>
      </c>
      <c r="E13" s="43">
        <v>1807968.7</v>
      </c>
      <c r="F13" s="43">
        <f>7912987.9</f>
        <v>7912987.9000000004</v>
      </c>
      <c r="G13" s="165">
        <v>5877930.0999999996</v>
      </c>
      <c r="H13" s="60">
        <v>2035057.8</v>
      </c>
    </row>
    <row r="14" spans="1:8" ht="15" customHeight="1">
      <c r="A14" s="58"/>
      <c r="B14" s="59">
        <v>2017</v>
      </c>
      <c r="C14" s="16">
        <v>6209427</v>
      </c>
      <c r="D14" s="43">
        <v>4396401.4000000004</v>
      </c>
      <c r="E14" s="60">
        <v>1813025.6</v>
      </c>
      <c r="F14" s="43">
        <f>8179621.6</f>
        <v>8179621.5999999996</v>
      </c>
      <c r="G14" s="43">
        <f>6262851.9</f>
        <v>6262851.9000000004</v>
      </c>
      <c r="H14" s="60">
        <v>1916769.7</v>
      </c>
    </row>
    <row r="15" spans="1:8" ht="15" customHeight="1">
      <c r="A15" s="58"/>
      <c r="B15" s="59">
        <v>2018</v>
      </c>
      <c r="C15" s="16">
        <v>7891210.5</v>
      </c>
      <c r="D15" s="43">
        <v>5526861.7000000002</v>
      </c>
      <c r="E15" s="163">
        <v>2364348.7999999998</v>
      </c>
      <c r="F15" s="43">
        <v>9686631.9000000004</v>
      </c>
      <c r="G15" s="43">
        <v>7394129.7000000002</v>
      </c>
      <c r="H15" s="60">
        <v>2292502.2000000002</v>
      </c>
    </row>
    <row r="16" spans="1:8" ht="21" customHeight="1">
      <c r="A16" s="58" t="s">
        <v>84</v>
      </c>
      <c r="B16" s="59">
        <v>2014</v>
      </c>
      <c r="C16" s="20">
        <f>4174431.2</f>
        <v>4174431.2</v>
      </c>
      <c r="D16" s="43">
        <f>2706678.9</f>
        <v>2706678.9</v>
      </c>
      <c r="E16" s="60">
        <v>1467752.3</v>
      </c>
      <c r="F16" s="43">
        <f>4498755.2</f>
        <v>4498755.2</v>
      </c>
      <c r="G16" s="43">
        <f>3084117.1</f>
        <v>3084117.1</v>
      </c>
      <c r="H16" s="60">
        <v>1414638.1</v>
      </c>
    </row>
    <row r="17" spans="1:8" ht="15" customHeight="1">
      <c r="A17" s="58"/>
      <c r="B17" s="59">
        <v>2015</v>
      </c>
      <c r="C17" s="61">
        <v>4286662.9000000004</v>
      </c>
      <c r="D17" s="43">
        <v>2901853.1</v>
      </c>
      <c r="E17" s="64">
        <v>1384809.8</v>
      </c>
      <c r="F17" s="43">
        <f>4403512.1</f>
        <v>4403512.0999999996</v>
      </c>
      <c r="G17" s="43">
        <f>2947439.4</f>
        <v>2947439.4</v>
      </c>
      <c r="H17" s="60">
        <v>1456072.7</v>
      </c>
    </row>
    <row r="18" spans="1:8" ht="15" customHeight="1">
      <c r="A18" s="58"/>
      <c r="B18" s="59">
        <v>2016</v>
      </c>
      <c r="C18" s="16">
        <f>3578083.5</f>
        <v>3578083.5</v>
      </c>
      <c r="D18" s="43">
        <f>2471050.8</f>
        <v>2471050.7999999998</v>
      </c>
      <c r="E18" s="60">
        <v>1107032.7</v>
      </c>
      <c r="F18" s="43">
        <v>3414626.7</v>
      </c>
      <c r="G18" s="43">
        <v>2305946.2999999998</v>
      </c>
      <c r="H18" s="60">
        <v>1108680.3999999999</v>
      </c>
    </row>
    <row r="19" spans="1:8" ht="15" customHeight="1">
      <c r="A19" s="58"/>
      <c r="B19" s="59">
        <v>2017</v>
      </c>
      <c r="C19" s="16">
        <f>3954072.4</f>
        <v>3954072.4</v>
      </c>
      <c r="D19" s="43">
        <f>2836263.1</f>
        <v>2836263.1</v>
      </c>
      <c r="E19" s="60">
        <v>1117809.3</v>
      </c>
      <c r="F19" s="43">
        <f>3978192.8</f>
        <v>3978192.8</v>
      </c>
      <c r="G19" s="43">
        <f>2829545.4</f>
        <v>2829545.4</v>
      </c>
      <c r="H19" s="60">
        <v>1148647.3999999999</v>
      </c>
    </row>
    <row r="20" spans="1:8" ht="15" customHeight="1">
      <c r="A20" s="58"/>
      <c r="B20" s="59">
        <v>2018</v>
      </c>
      <c r="C20" s="16">
        <v>5099159.5999999996</v>
      </c>
      <c r="D20" s="43">
        <v>3564903.5</v>
      </c>
      <c r="E20" s="164">
        <v>1534256.1</v>
      </c>
      <c r="F20" s="43">
        <v>5737664.2999999998</v>
      </c>
      <c r="G20" s="43">
        <v>4175915.4</v>
      </c>
      <c r="H20" s="60">
        <v>1561748.9</v>
      </c>
    </row>
    <row r="21" spans="1:8" ht="21" customHeight="1">
      <c r="A21" s="58" t="s">
        <v>85</v>
      </c>
      <c r="B21" s="59">
        <v>2014</v>
      </c>
      <c r="C21" s="16">
        <f>2924457.5</f>
        <v>2924457.5</v>
      </c>
      <c r="D21" s="43">
        <f>2237241.4</f>
        <v>2237241.4</v>
      </c>
      <c r="E21" s="60">
        <v>687216.1</v>
      </c>
      <c r="F21" s="43">
        <f>3447942.4</f>
        <v>3447942.4</v>
      </c>
      <c r="G21" s="43">
        <f>2716549.9</f>
        <v>2716549.9</v>
      </c>
      <c r="H21" s="60">
        <v>731392.5</v>
      </c>
    </row>
    <row r="22" spans="1:8" ht="15" customHeight="1">
      <c r="A22" s="53"/>
      <c r="B22" s="59">
        <v>2015</v>
      </c>
      <c r="C22" s="16">
        <v>2800580.6</v>
      </c>
      <c r="D22" s="43">
        <v>2151198.1</v>
      </c>
      <c r="E22" s="64">
        <v>649382.5</v>
      </c>
      <c r="F22" s="43">
        <f>3010425.2</f>
        <v>3010425.2</v>
      </c>
      <c r="G22" s="43">
        <f>2400971.2</f>
        <v>2400971.2000000002</v>
      </c>
      <c r="H22" s="60">
        <v>609454</v>
      </c>
    </row>
    <row r="23" spans="1:8" ht="15" customHeight="1">
      <c r="A23" s="53"/>
      <c r="B23" s="59">
        <v>2016</v>
      </c>
      <c r="C23" s="16">
        <v>2498846</v>
      </c>
      <c r="D23" s="43">
        <v>1987690.9</v>
      </c>
      <c r="E23" s="64">
        <v>511155.1</v>
      </c>
      <c r="F23" s="43">
        <v>2803845.7</v>
      </c>
      <c r="G23" s="43">
        <v>2290009.2000000002</v>
      </c>
      <c r="H23" s="60">
        <v>513836.5</v>
      </c>
    </row>
    <row r="24" spans="1:8" ht="15" customHeight="1">
      <c r="A24" s="53"/>
      <c r="B24" s="59">
        <v>2017</v>
      </c>
      <c r="C24" s="16">
        <f>2932125.8</f>
        <v>2932125.8</v>
      </c>
      <c r="D24" s="43">
        <f>2327071.6</f>
        <v>2327071.6</v>
      </c>
      <c r="E24" s="60">
        <v>605054.19999999995</v>
      </c>
      <c r="F24" s="43">
        <f>3161057.7</f>
        <v>3161057.7</v>
      </c>
      <c r="G24" s="43">
        <f>2515774.5</f>
        <v>2515774.5</v>
      </c>
      <c r="H24" s="60">
        <v>645283.19999999995</v>
      </c>
    </row>
    <row r="25" spans="1:8" ht="15" customHeight="1">
      <c r="A25" s="53"/>
      <c r="B25" s="59">
        <v>2018</v>
      </c>
      <c r="C25" s="16">
        <v>3570707.1</v>
      </c>
      <c r="D25" s="43">
        <v>2910258.1</v>
      </c>
      <c r="E25" s="163">
        <v>660449</v>
      </c>
      <c r="F25" s="43">
        <v>3909448.5</v>
      </c>
      <c r="G25" s="43">
        <v>3202988.3</v>
      </c>
      <c r="H25" s="60">
        <v>706460.2</v>
      </c>
    </row>
    <row r="26" spans="1:8" ht="21" customHeight="1">
      <c r="A26" s="58" t="s">
        <v>86</v>
      </c>
      <c r="B26" s="59">
        <v>2014</v>
      </c>
      <c r="C26" s="16">
        <f>1121333.8</f>
        <v>1121333.8</v>
      </c>
      <c r="D26" s="43">
        <f>808860.7</f>
        <v>808860.7</v>
      </c>
      <c r="E26" s="60">
        <v>312473.09999999998</v>
      </c>
      <c r="F26" s="43">
        <f>1778224.6</f>
        <v>1778224.6</v>
      </c>
      <c r="G26" s="43">
        <f>1326185.3</f>
        <v>1326185.3</v>
      </c>
      <c r="H26" s="60">
        <v>452039.3</v>
      </c>
    </row>
    <row r="27" spans="1:8" ht="15" customHeight="1">
      <c r="A27" s="58"/>
      <c r="B27" s="59">
        <v>2015</v>
      </c>
      <c r="C27" s="16">
        <v>1228190.6000000001</v>
      </c>
      <c r="D27" s="43">
        <v>835264.1</v>
      </c>
      <c r="E27" s="66">
        <v>392926.5</v>
      </c>
      <c r="F27" s="43">
        <v>1742910.4</v>
      </c>
      <c r="G27" s="43">
        <v>1238906.3</v>
      </c>
      <c r="H27" s="60">
        <v>504004.1</v>
      </c>
    </row>
    <row r="28" spans="1:8" ht="15" customHeight="1">
      <c r="A28" s="58"/>
      <c r="B28" s="59">
        <v>2016</v>
      </c>
      <c r="C28" s="16">
        <f>1076264.6</f>
        <v>1076264.6000000001</v>
      </c>
      <c r="D28" s="43">
        <f>663864.4</f>
        <v>663864.4</v>
      </c>
      <c r="E28" s="60">
        <v>412400.2</v>
      </c>
      <c r="F28" s="43">
        <f>1476479.5</f>
        <v>1476479.5</v>
      </c>
      <c r="G28" s="43">
        <f>1015241.8</f>
        <v>1015241.8</v>
      </c>
      <c r="H28" s="60">
        <v>461237.7</v>
      </c>
    </row>
    <row r="29" spans="1:8" ht="15" customHeight="1">
      <c r="A29" s="58"/>
      <c r="B29" s="59">
        <v>2017</v>
      </c>
      <c r="C29" s="16">
        <v>1113201.5</v>
      </c>
      <c r="D29" s="43">
        <v>661268.4</v>
      </c>
      <c r="E29" s="60">
        <v>451933.1</v>
      </c>
      <c r="F29" s="43">
        <f>1691841.7</f>
        <v>1691841.7</v>
      </c>
      <c r="G29" s="43">
        <f>1188171.5</f>
        <v>1188171.5</v>
      </c>
      <c r="H29" s="60">
        <v>503670.2</v>
      </c>
    </row>
    <row r="30" spans="1:8" ht="15" customHeight="1">
      <c r="A30" s="58"/>
      <c r="B30" s="59">
        <v>2018</v>
      </c>
      <c r="C30" s="16">
        <v>1361490.1</v>
      </c>
      <c r="D30" s="43">
        <v>778010.5</v>
      </c>
      <c r="E30" s="163">
        <v>583479.6</v>
      </c>
      <c r="F30" s="43">
        <v>2035306.3</v>
      </c>
      <c r="G30" s="43">
        <v>1368144.7</v>
      </c>
      <c r="H30" s="60">
        <v>667161.59999999998</v>
      </c>
    </row>
    <row r="31" spans="1:8" ht="21" customHeight="1">
      <c r="A31" s="58" t="s">
        <v>87</v>
      </c>
      <c r="B31" s="59">
        <v>2014</v>
      </c>
      <c r="C31" s="16">
        <v>4445900.9000000004</v>
      </c>
      <c r="D31" s="43">
        <v>3517483.4</v>
      </c>
      <c r="E31" s="66">
        <v>928417.5</v>
      </c>
      <c r="F31" s="43">
        <f>4997101.4</f>
        <v>4997101.4000000004</v>
      </c>
      <c r="G31" s="43">
        <f>3860789.8</f>
        <v>3860789.8</v>
      </c>
      <c r="H31" s="60">
        <v>1136311.6000000001</v>
      </c>
    </row>
    <row r="32" spans="1:8" ht="15" customHeight="1">
      <c r="A32" s="58"/>
      <c r="B32" s="59">
        <v>2015</v>
      </c>
      <c r="C32" s="16">
        <f>4617202.6</f>
        <v>4617202.5999999996</v>
      </c>
      <c r="D32" s="43">
        <f>3787471.3</f>
        <v>3787471.3</v>
      </c>
      <c r="E32" s="60">
        <v>829731.3</v>
      </c>
      <c r="F32" s="43">
        <f>5494835.2</f>
        <v>5494835.2000000002</v>
      </c>
      <c r="G32" s="43">
        <v>4380702</v>
      </c>
      <c r="H32" s="60">
        <v>1114133.2</v>
      </c>
    </row>
    <row r="33" spans="1:8" ht="15" customHeight="1">
      <c r="A33" s="58"/>
      <c r="B33" s="59">
        <v>2016</v>
      </c>
      <c r="C33" s="16">
        <f>3326096.5</f>
        <v>3326096.5</v>
      </c>
      <c r="D33" s="43">
        <v>2694076.3</v>
      </c>
      <c r="E33" s="65">
        <v>632020.19999999995</v>
      </c>
      <c r="F33" s="43">
        <f>3905852.6</f>
        <v>3905852.6</v>
      </c>
      <c r="G33" s="43">
        <f>3152108.1</f>
        <v>3152108.1</v>
      </c>
      <c r="H33" s="60">
        <v>753744.5</v>
      </c>
    </row>
    <row r="34" spans="1:8" ht="15" customHeight="1">
      <c r="A34" s="58"/>
      <c r="B34" s="59">
        <v>2017</v>
      </c>
      <c r="C34" s="16">
        <f>3462171.5</f>
        <v>3462171.5</v>
      </c>
      <c r="D34" s="43">
        <f>2372349.3</f>
        <v>2372349.2999999998</v>
      </c>
      <c r="E34" s="43">
        <v>1089822.2</v>
      </c>
      <c r="F34" s="43">
        <f>3906001.4</f>
        <v>3906001.4</v>
      </c>
      <c r="G34" s="43">
        <f>2719497.7</f>
        <v>2719497.7</v>
      </c>
      <c r="H34" s="60">
        <v>1186503.7</v>
      </c>
    </row>
    <row r="35" spans="1:8" ht="15" customHeight="1">
      <c r="A35" s="58"/>
      <c r="B35" s="59">
        <v>2018</v>
      </c>
      <c r="C35" s="16">
        <v>4468156.8</v>
      </c>
      <c r="D35" s="43">
        <v>3157088.8</v>
      </c>
      <c r="E35" s="163">
        <v>1311068</v>
      </c>
      <c r="F35" s="43">
        <v>5427152.2000000002</v>
      </c>
      <c r="G35" s="43">
        <v>4021933.3</v>
      </c>
      <c r="H35" s="60">
        <v>1405218.9</v>
      </c>
    </row>
    <row r="36" spans="1:8" ht="21" customHeight="1">
      <c r="A36" s="58" t="s">
        <v>88</v>
      </c>
      <c r="B36" s="59">
        <v>2014</v>
      </c>
      <c r="C36" s="16">
        <v>8787085.0999999996</v>
      </c>
      <c r="D36" s="43">
        <v>6007287</v>
      </c>
      <c r="E36" s="65">
        <v>2779798.1</v>
      </c>
      <c r="F36" s="43">
        <f>7839409.4</f>
        <v>7839409.4000000004</v>
      </c>
      <c r="G36" s="43">
        <f>5176194.7</f>
        <v>5176194.7</v>
      </c>
      <c r="H36" s="60">
        <v>2663214.7000000002</v>
      </c>
    </row>
    <row r="37" spans="1:8" ht="15" customHeight="1">
      <c r="A37" s="58"/>
      <c r="B37" s="59">
        <v>2015</v>
      </c>
      <c r="C37" s="16">
        <v>9046797.8000000007</v>
      </c>
      <c r="D37" s="43">
        <v>6370129.2000000002</v>
      </c>
      <c r="E37" s="65">
        <v>2676668.6</v>
      </c>
      <c r="F37" s="43">
        <f>8440329</f>
        <v>8440329</v>
      </c>
      <c r="G37" s="43">
        <f>5949972.1</f>
        <v>5949972.0999999996</v>
      </c>
      <c r="H37" s="60">
        <v>2490356.9</v>
      </c>
    </row>
    <row r="38" spans="1:8" ht="15" customHeight="1">
      <c r="A38" s="58"/>
      <c r="B38" s="59">
        <v>2016</v>
      </c>
      <c r="C38" s="16">
        <f>8436803.6</f>
        <v>8436803.5999999996</v>
      </c>
      <c r="D38" s="43">
        <f>6217794.5</f>
        <v>6217794.5</v>
      </c>
      <c r="E38" s="43">
        <v>2219009.1</v>
      </c>
      <c r="F38" s="43">
        <v>7964417.0999999996</v>
      </c>
      <c r="G38" s="43">
        <v>5874370.7999999998</v>
      </c>
      <c r="H38" s="60">
        <v>2090046.3</v>
      </c>
    </row>
    <row r="39" spans="1:8" ht="15" customHeight="1">
      <c r="A39" s="58"/>
      <c r="B39" s="59">
        <v>2017</v>
      </c>
      <c r="C39" s="16">
        <v>9209701</v>
      </c>
      <c r="D39" s="43">
        <v>6886758.2999999998</v>
      </c>
      <c r="E39" s="43">
        <v>2322942.7000000002</v>
      </c>
      <c r="F39" s="43">
        <f>9151749.2</f>
        <v>9151749.1999999993</v>
      </c>
      <c r="G39" s="43">
        <f>6986447.7</f>
        <v>6986447.7000000002</v>
      </c>
      <c r="H39" s="60">
        <v>2165301.5</v>
      </c>
    </row>
    <row r="40" spans="1:8" ht="15" customHeight="1">
      <c r="A40" s="58"/>
      <c r="B40" s="59">
        <v>2018</v>
      </c>
      <c r="C40" s="16">
        <v>11092252.300000001</v>
      </c>
      <c r="D40" s="43">
        <v>8862889.9000000004</v>
      </c>
      <c r="E40" s="163">
        <v>2229362.4</v>
      </c>
      <c r="F40" s="43">
        <v>10402674.4</v>
      </c>
      <c r="G40" s="43">
        <v>8357803.0999999996</v>
      </c>
      <c r="H40" s="60">
        <v>2044871.3</v>
      </c>
    </row>
    <row r="41" spans="1:8" ht="21" customHeight="1">
      <c r="A41" s="58" t="s">
        <v>89</v>
      </c>
      <c r="B41" s="59">
        <v>2014</v>
      </c>
      <c r="C41" s="16">
        <v>22264961.600000001</v>
      </c>
      <c r="D41" s="43">
        <v>18052577.300000001</v>
      </c>
      <c r="E41" s="63">
        <v>4212384.3</v>
      </c>
      <c r="F41" s="43">
        <f>18198455.1</f>
        <v>18198455.100000001</v>
      </c>
      <c r="G41" s="43">
        <f>13997480.8</f>
        <v>13997480.800000001</v>
      </c>
      <c r="H41" s="60">
        <v>4200974.3</v>
      </c>
    </row>
    <row r="42" spans="1:8" ht="15" customHeight="1">
      <c r="A42" s="58"/>
      <c r="B42" s="59">
        <v>2015</v>
      </c>
      <c r="C42" s="16">
        <f>19795304.5</f>
        <v>19795304.5</v>
      </c>
      <c r="D42" s="43">
        <v>16513516.699999999</v>
      </c>
      <c r="E42" s="66">
        <v>3281787.8</v>
      </c>
      <c r="F42" s="43">
        <v>16121432</v>
      </c>
      <c r="G42" s="43">
        <v>12555084.5</v>
      </c>
      <c r="H42" s="60">
        <v>3566347.5</v>
      </c>
    </row>
    <row r="43" spans="1:8" ht="15" customHeight="1">
      <c r="A43" s="58"/>
      <c r="B43" s="59">
        <v>2016</v>
      </c>
      <c r="C43" s="16">
        <f>18612340.9</f>
        <v>18612340.899999999</v>
      </c>
      <c r="D43" s="43">
        <f>16193744.6</f>
        <v>16193744.6</v>
      </c>
      <c r="E43" s="44">
        <v>2418596.2999999998</v>
      </c>
      <c r="F43" s="43">
        <v>13812827.5</v>
      </c>
      <c r="G43" s="43">
        <v>11196042.800000001</v>
      </c>
      <c r="H43" s="60">
        <v>2616784.7000000002</v>
      </c>
    </row>
    <row r="44" spans="1:8" ht="15" customHeight="1">
      <c r="A44" s="58"/>
      <c r="B44" s="59">
        <v>2017</v>
      </c>
      <c r="C44" s="16">
        <f>21741286.8</f>
        <v>21741286.800000001</v>
      </c>
      <c r="D44" s="43">
        <f>18723531.8</f>
        <v>18723531.800000001</v>
      </c>
      <c r="E44" s="44">
        <v>3017755</v>
      </c>
      <c r="F44" s="43">
        <v>16092346</v>
      </c>
      <c r="G44" s="43">
        <v>13155296.6</v>
      </c>
      <c r="H44" s="60">
        <v>2937049.4</v>
      </c>
    </row>
    <row r="45" spans="1:8" ht="15" customHeight="1">
      <c r="A45" s="58"/>
      <c r="B45" s="59">
        <v>2018</v>
      </c>
      <c r="C45" s="16">
        <v>23679971</v>
      </c>
      <c r="D45" s="43">
        <v>20754139.899999999</v>
      </c>
      <c r="E45" s="163">
        <v>2925831.1</v>
      </c>
      <c r="F45" s="43">
        <v>18259780.199999999</v>
      </c>
      <c r="G45" s="43">
        <v>15286510.4</v>
      </c>
      <c r="H45" s="60">
        <v>2973269.8</v>
      </c>
    </row>
    <row r="46" spans="1:8" ht="21" customHeight="1">
      <c r="A46" s="58" t="s">
        <v>90</v>
      </c>
      <c r="B46" s="59">
        <v>2014</v>
      </c>
      <c r="C46" s="16">
        <v>1419215.4</v>
      </c>
      <c r="D46" s="43">
        <v>940797.7</v>
      </c>
      <c r="E46" s="65">
        <v>478417.7</v>
      </c>
      <c r="F46" s="43">
        <f>1942546.8</f>
        <v>1942546.8</v>
      </c>
      <c r="G46" s="43">
        <f>1266378.9</f>
        <v>1266378.8999999999</v>
      </c>
      <c r="H46" s="60">
        <v>676167.9</v>
      </c>
    </row>
    <row r="47" spans="1:8" ht="15" customHeight="1">
      <c r="A47" s="58"/>
      <c r="B47" s="59">
        <v>2015</v>
      </c>
      <c r="C47" s="16">
        <v>1537750.4</v>
      </c>
      <c r="D47" s="43">
        <v>1035879.2</v>
      </c>
      <c r="E47" s="65">
        <v>501871.2</v>
      </c>
      <c r="F47" s="43">
        <v>1964084</v>
      </c>
      <c r="G47" s="43">
        <v>1363055.6</v>
      </c>
      <c r="H47" s="60">
        <v>601028.4</v>
      </c>
    </row>
    <row r="48" spans="1:8" ht="15" customHeight="1">
      <c r="A48" s="58"/>
      <c r="B48" s="59">
        <v>2016</v>
      </c>
      <c r="C48" s="16">
        <v>1452744.4</v>
      </c>
      <c r="D48" s="43">
        <v>974325.2</v>
      </c>
      <c r="E48" s="65">
        <v>478419.20000000001</v>
      </c>
      <c r="F48" s="43">
        <v>2184101.4</v>
      </c>
      <c r="G48" s="43">
        <v>1600498.2</v>
      </c>
      <c r="H48" s="60">
        <v>583603.19999999995</v>
      </c>
    </row>
    <row r="49" spans="1:8" ht="15" customHeight="1">
      <c r="A49" s="58"/>
      <c r="B49" s="59">
        <v>2017</v>
      </c>
      <c r="C49" s="16">
        <f>1693875.5</f>
        <v>1693875.5</v>
      </c>
      <c r="D49" s="43">
        <f>1107093.5</f>
        <v>1107093.5</v>
      </c>
      <c r="E49" s="60">
        <v>586782</v>
      </c>
      <c r="F49" s="43">
        <f>2220002.8</f>
        <v>2220002.7999999998</v>
      </c>
      <c r="G49" s="43">
        <f>1529699</f>
        <v>1529699</v>
      </c>
      <c r="H49" s="60">
        <v>690303.8</v>
      </c>
    </row>
    <row r="50" spans="1:8" ht="15" customHeight="1">
      <c r="A50" s="58"/>
      <c r="B50" s="59">
        <v>2018</v>
      </c>
      <c r="C50" s="16">
        <v>2567843.7999999998</v>
      </c>
      <c r="D50" s="43">
        <v>1838801.7</v>
      </c>
      <c r="E50" s="163">
        <v>729042.1</v>
      </c>
      <c r="F50" s="43">
        <v>2953117</v>
      </c>
      <c r="G50" s="43">
        <v>2154210.5</v>
      </c>
      <c r="H50" s="60">
        <v>798906.5</v>
      </c>
    </row>
    <row r="51" spans="1:8" ht="21" customHeight="1">
      <c r="A51" s="58" t="s">
        <v>91</v>
      </c>
      <c r="B51" s="59">
        <v>2014</v>
      </c>
      <c r="C51" s="16">
        <f>3621848</f>
        <v>3621848</v>
      </c>
      <c r="D51" s="43">
        <f>2420618.5</f>
        <v>2420618.5</v>
      </c>
      <c r="E51" s="60">
        <v>1201229.5</v>
      </c>
      <c r="F51" s="43">
        <f>3773715.3</f>
        <v>3773715.3</v>
      </c>
      <c r="G51" s="43">
        <f>2701216.2</f>
        <v>2701216.2</v>
      </c>
      <c r="H51" s="60">
        <v>1072499.1000000001</v>
      </c>
    </row>
    <row r="52" spans="1:8" ht="15" customHeight="1">
      <c r="A52" s="58"/>
      <c r="B52" s="59">
        <v>2015</v>
      </c>
      <c r="C52" s="16">
        <v>3408209.7</v>
      </c>
      <c r="D52" s="43">
        <v>2523159.6</v>
      </c>
      <c r="E52" s="66">
        <v>885050.1</v>
      </c>
      <c r="F52" s="43">
        <v>3501167.1</v>
      </c>
      <c r="G52" s="43">
        <v>2557468</v>
      </c>
      <c r="H52" s="60">
        <v>943699.1</v>
      </c>
    </row>
    <row r="53" spans="1:8" ht="15" customHeight="1">
      <c r="A53" s="58"/>
      <c r="B53" s="59">
        <v>2016</v>
      </c>
      <c r="C53" s="16">
        <v>2868623</v>
      </c>
      <c r="D53" s="43">
        <v>2332981</v>
      </c>
      <c r="E53" s="66">
        <v>535642</v>
      </c>
      <c r="F53" s="43">
        <f>3041300.7</f>
        <v>3041300.7</v>
      </c>
      <c r="G53" s="43">
        <v>2476148.2999999998</v>
      </c>
      <c r="H53" s="60">
        <v>565152.4</v>
      </c>
    </row>
    <row r="54" spans="1:8" ht="15" customHeight="1">
      <c r="A54" s="58"/>
      <c r="B54" s="59">
        <v>2017</v>
      </c>
      <c r="C54" s="16">
        <f>3367780.3</f>
        <v>3367780.3</v>
      </c>
      <c r="D54" s="43">
        <f>2657295.1</f>
        <v>2657295.1</v>
      </c>
      <c r="E54" s="60">
        <v>710485.2</v>
      </c>
      <c r="F54" s="43">
        <f>3314830.8</f>
        <v>3314830.8</v>
      </c>
      <c r="G54" s="43">
        <f>2613806</f>
        <v>2613806</v>
      </c>
      <c r="H54" s="60">
        <v>701024.8</v>
      </c>
    </row>
    <row r="55" spans="1:8" ht="15" customHeight="1">
      <c r="A55" s="58"/>
      <c r="B55" s="59">
        <v>2018</v>
      </c>
      <c r="C55" s="16">
        <v>4198546.3</v>
      </c>
      <c r="D55" s="43">
        <v>3542362.9</v>
      </c>
      <c r="E55" s="163">
        <v>656183.4</v>
      </c>
      <c r="F55" s="43">
        <v>4275114</v>
      </c>
      <c r="G55" s="43">
        <v>3578585.8</v>
      </c>
      <c r="H55" s="60">
        <v>696528.2</v>
      </c>
    </row>
    <row r="56" spans="1:8" ht="21" customHeight="1">
      <c r="A56" s="58" t="s">
        <v>92</v>
      </c>
      <c r="B56" s="59">
        <v>2014</v>
      </c>
      <c r="C56" s="16">
        <v>2200443.2999999998</v>
      </c>
      <c r="D56" s="43">
        <v>1878612.1</v>
      </c>
      <c r="E56" s="66">
        <v>321831.2</v>
      </c>
      <c r="F56" s="43">
        <f>2333490.8</f>
        <v>2333490.7999999998</v>
      </c>
      <c r="G56" s="43">
        <f>1987919.1</f>
        <v>1987919.1</v>
      </c>
      <c r="H56" s="60">
        <v>345571.7</v>
      </c>
    </row>
    <row r="57" spans="1:8" ht="15" customHeight="1">
      <c r="A57" s="53"/>
      <c r="B57" s="59">
        <v>2015</v>
      </c>
      <c r="C57" s="16">
        <v>2222841.1</v>
      </c>
      <c r="D57" s="43">
        <v>1828074</v>
      </c>
      <c r="E57" s="66">
        <v>394767.1</v>
      </c>
      <c r="F57" s="43">
        <v>2283213.5</v>
      </c>
      <c r="G57" s="43">
        <v>1863988.9</v>
      </c>
      <c r="H57" s="60">
        <v>419224.6</v>
      </c>
    </row>
    <row r="58" spans="1:8" ht="15" customHeight="1">
      <c r="A58" s="53"/>
      <c r="B58" s="59">
        <v>2016</v>
      </c>
      <c r="C58" s="16">
        <v>1933151.7</v>
      </c>
      <c r="D58" s="43">
        <v>1559922.5</v>
      </c>
      <c r="E58" s="66">
        <v>373229.2</v>
      </c>
      <c r="F58" s="43">
        <v>1544658.8</v>
      </c>
      <c r="G58" s="43">
        <v>1243208.6000000001</v>
      </c>
      <c r="H58" s="60">
        <v>301450.2</v>
      </c>
    </row>
    <row r="59" spans="1:8" ht="15" customHeight="1">
      <c r="A59" s="53"/>
      <c r="B59" s="59">
        <v>2017</v>
      </c>
      <c r="C59" s="16">
        <f>2404095.4</f>
        <v>2404095.4</v>
      </c>
      <c r="D59" s="43">
        <f>1987371.2</f>
        <v>1987371.2</v>
      </c>
      <c r="E59" s="60">
        <v>416724.2</v>
      </c>
      <c r="F59" s="43">
        <f>2414254</f>
        <v>2414254</v>
      </c>
      <c r="G59" s="43">
        <f>1936820.3</f>
        <v>1936820.3</v>
      </c>
      <c r="H59" s="60">
        <v>477433.7</v>
      </c>
    </row>
    <row r="60" spans="1:8" ht="15" customHeight="1">
      <c r="A60" s="53"/>
      <c r="B60" s="59">
        <v>2018</v>
      </c>
      <c r="C60" s="16">
        <v>2490415.2000000002</v>
      </c>
      <c r="D60" s="43">
        <v>2145450</v>
      </c>
      <c r="E60" s="163">
        <v>344965.2</v>
      </c>
      <c r="F60" s="43">
        <v>2768851.6</v>
      </c>
      <c r="G60" s="43">
        <v>2365029.7999999998</v>
      </c>
      <c r="H60" s="60">
        <v>403821.8</v>
      </c>
    </row>
    <row r="61" spans="1:8" ht="21" customHeight="1">
      <c r="A61" s="58" t="s">
        <v>93</v>
      </c>
      <c r="B61" s="59">
        <v>2014</v>
      </c>
      <c r="C61" s="16">
        <v>5162936.2</v>
      </c>
      <c r="D61" s="43">
        <v>3459319.4</v>
      </c>
      <c r="E61" s="66">
        <v>1703616.8</v>
      </c>
      <c r="F61" s="43">
        <f>5693634.6</f>
        <v>5693634.5999999996</v>
      </c>
      <c r="G61" s="43">
        <f>4002528.3</f>
        <v>4002528.3</v>
      </c>
      <c r="H61" s="60">
        <v>1691106.3</v>
      </c>
    </row>
    <row r="62" spans="1:8" ht="15" customHeight="1">
      <c r="A62" s="53"/>
      <c r="B62" s="59">
        <v>2015</v>
      </c>
      <c r="C62" s="16">
        <v>5707196.7000000002</v>
      </c>
      <c r="D62" s="43">
        <v>3736586.8</v>
      </c>
      <c r="E62" s="66">
        <v>1970609.9</v>
      </c>
      <c r="F62" s="43">
        <v>6610011.4000000004</v>
      </c>
      <c r="G62" s="43">
        <v>4613266.9000000004</v>
      </c>
      <c r="H62" s="60">
        <v>1996744.5</v>
      </c>
    </row>
    <row r="63" spans="1:8" ht="15" customHeight="1">
      <c r="A63" s="53"/>
      <c r="B63" s="59">
        <v>2016</v>
      </c>
      <c r="C63" s="16">
        <v>4958886.4000000004</v>
      </c>
      <c r="D63" s="43">
        <v>3772609.6</v>
      </c>
      <c r="E63" s="66">
        <v>1186276.8</v>
      </c>
      <c r="F63" s="43">
        <v>5412087.5999999996</v>
      </c>
      <c r="G63" s="43">
        <v>4299386.5999999996</v>
      </c>
      <c r="H63" s="60">
        <v>1112701</v>
      </c>
    </row>
    <row r="64" spans="1:8" ht="15" customHeight="1">
      <c r="A64" s="53"/>
      <c r="B64" s="59">
        <v>2017</v>
      </c>
      <c r="C64" s="16">
        <f>5589826.5</f>
        <v>5589826.5</v>
      </c>
      <c r="D64" s="43">
        <f>4212052</f>
        <v>4212052</v>
      </c>
      <c r="E64" s="60">
        <v>1377774.5</v>
      </c>
      <c r="F64" s="43">
        <f>6115789.4</f>
        <v>6115789.4000000004</v>
      </c>
      <c r="G64" s="43">
        <f>4739044.4</f>
        <v>4739044.4000000004</v>
      </c>
      <c r="H64" s="60">
        <v>1376745</v>
      </c>
    </row>
    <row r="65" spans="1:8" ht="15" customHeight="1">
      <c r="A65" s="53"/>
      <c r="B65" s="59">
        <v>2018</v>
      </c>
      <c r="C65" s="16">
        <v>7782453.2999999998</v>
      </c>
      <c r="D65" s="43">
        <v>6077125.5999999996</v>
      </c>
      <c r="E65" s="163">
        <v>1705327.7</v>
      </c>
      <c r="F65" s="43">
        <v>7894826.5999999996</v>
      </c>
      <c r="G65" s="43">
        <v>6224639.2000000002</v>
      </c>
      <c r="H65" s="60">
        <v>1670187.4</v>
      </c>
    </row>
    <row r="66" spans="1:8" ht="21" customHeight="1">
      <c r="A66" s="58" t="s">
        <v>94</v>
      </c>
      <c r="B66" s="59">
        <v>2014</v>
      </c>
      <c r="C66" s="16">
        <v>10718920</v>
      </c>
      <c r="D66" s="43">
        <v>5819632.4000000004</v>
      </c>
      <c r="E66" s="66">
        <v>4899287.5999999996</v>
      </c>
      <c r="F66" s="43">
        <f>10492378.6</f>
        <v>10492378.6</v>
      </c>
      <c r="G66" s="43">
        <f>6206172.6</f>
        <v>6206172.5999999996</v>
      </c>
      <c r="H66" s="60">
        <v>4286206</v>
      </c>
    </row>
    <row r="67" spans="1:8" ht="15" customHeight="1">
      <c r="A67" s="53"/>
      <c r="B67" s="59">
        <v>2015</v>
      </c>
      <c r="C67" s="16">
        <v>10421159.1</v>
      </c>
      <c r="D67" s="43">
        <v>5611556.4000000004</v>
      </c>
      <c r="E67" s="66">
        <v>4809602.7</v>
      </c>
      <c r="F67" s="43">
        <v>10188734.800000001</v>
      </c>
      <c r="G67" s="43">
        <v>6001063.2999999998</v>
      </c>
      <c r="H67" s="60">
        <v>4187671.5</v>
      </c>
    </row>
    <row r="68" spans="1:8" ht="15" customHeight="1">
      <c r="A68" s="53"/>
      <c r="B68" s="59">
        <v>2016</v>
      </c>
      <c r="C68" s="16">
        <v>9183785.6999999993</v>
      </c>
      <c r="D68" s="43">
        <v>5354356.4000000004</v>
      </c>
      <c r="E68" s="66">
        <v>3829429.3</v>
      </c>
      <c r="F68" s="43">
        <f>9047794</f>
        <v>9047794</v>
      </c>
      <c r="G68" s="43">
        <f>5637605.9</f>
        <v>5637605.9000000004</v>
      </c>
      <c r="H68" s="60">
        <v>3410188.1</v>
      </c>
    </row>
    <row r="69" spans="1:8" ht="15" customHeight="1">
      <c r="A69" s="53"/>
      <c r="B69" s="59">
        <v>2017</v>
      </c>
      <c r="C69" s="16">
        <v>9902665.3000000007</v>
      </c>
      <c r="D69" s="43">
        <v>6098214.5999999996</v>
      </c>
      <c r="E69" s="60">
        <v>3804450.7</v>
      </c>
      <c r="F69" s="43">
        <f>9549187.1</f>
        <v>9549187.0999999996</v>
      </c>
      <c r="G69" s="43">
        <f>5999257.7</f>
        <v>5999257.7000000002</v>
      </c>
      <c r="H69" s="60">
        <v>3549929.4</v>
      </c>
    </row>
    <row r="70" spans="1:8" ht="15" customHeight="1">
      <c r="A70" s="53"/>
      <c r="B70" s="59">
        <v>2018</v>
      </c>
      <c r="C70" s="16">
        <v>11792256.800000001</v>
      </c>
      <c r="D70" s="43">
        <v>8109019.2000000002</v>
      </c>
      <c r="E70" s="163">
        <v>3683237.6</v>
      </c>
      <c r="F70" s="43">
        <v>11538856.5</v>
      </c>
      <c r="G70" s="43">
        <v>8040676.0999999996</v>
      </c>
      <c r="H70" s="60">
        <v>3498180.4</v>
      </c>
    </row>
    <row r="71" spans="1:8" ht="21" customHeight="1">
      <c r="A71" s="58" t="s">
        <v>95</v>
      </c>
      <c r="B71" s="59">
        <v>2014</v>
      </c>
      <c r="C71" s="16">
        <v>2202888.4</v>
      </c>
      <c r="D71" s="43">
        <v>1702012.6</v>
      </c>
      <c r="E71" s="66">
        <v>500875.8</v>
      </c>
      <c r="F71" s="43">
        <f>1851707.5</f>
        <v>1851707.5</v>
      </c>
      <c r="G71" s="43">
        <f>1375423.6</f>
        <v>1375423.6</v>
      </c>
      <c r="H71" s="60">
        <v>476283.9</v>
      </c>
    </row>
    <row r="72" spans="1:8" ht="15" customHeight="1">
      <c r="A72" s="53"/>
      <c r="B72" s="59">
        <v>2015</v>
      </c>
      <c r="C72" s="16">
        <v>2050458.3</v>
      </c>
      <c r="D72" s="43">
        <v>1414906</v>
      </c>
      <c r="E72" s="66">
        <v>635552.30000000005</v>
      </c>
      <c r="F72" s="43">
        <v>1680107.3</v>
      </c>
      <c r="G72" s="43">
        <v>1196074.3999999999</v>
      </c>
      <c r="H72" s="60">
        <v>484032.9</v>
      </c>
    </row>
    <row r="73" spans="1:8" ht="15" customHeight="1">
      <c r="A73" s="53"/>
      <c r="B73" s="59">
        <v>2016</v>
      </c>
      <c r="C73" s="16">
        <v>2026346</v>
      </c>
      <c r="D73" s="43">
        <v>1457954</v>
      </c>
      <c r="E73" s="66">
        <v>568392</v>
      </c>
      <c r="F73" s="43">
        <v>1520471.4</v>
      </c>
      <c r="G73" s="43">
        <v>1054885.3999999999</v>
      </c>
      <c r="H73" s="60">
        <v>465586</v>
      </c>
    </row>
    <row r="74" spans="1:8" ht="15" customHeight="1">
      <c r="A74" s="53"/>
      <c r="B74" s="59">
        <v>2017</v>
      </c>
      <c r="C74" s="16">
        <f>2049130.5</f>
        <v>2049130.5</v>
      </c>
      <c r="D74" s="43">
        <f>1741353.9</f>
        <v>1741353.9</v>
      </c>
      <c r="E74" s="60">
        <v>307776.59999999998</v>
      </c>
      <c r="F74" s="43">
        <f>1708968.6</f>
        <v>1708968.6</v>
      </c>
      <c r="G74" s="43">
        <f>1404233.1</f>
        <v>1404233.1</v>
      </c>
      <c r="H74" s="60">
        <v>304735.5</v>
      </c>
    </row>
    <row r="75" spans="1:8" ht="15" customHeight="1">
      <c r="A75" s="53"/>
      <c r="B75" s="59">
        <v>2018</v>
      </c>
      <c r="C75" s="16">
        <v>2561737.7999999998</v>
      </c>
      <c r="D75" s="43">
        <v>2066808.8</v>
      </c>
      <c r="E75" s="163">
        <v>494929</v>
      </c>
      <c r="F75" s="43">
        <v>2207145.2000000002</v>
      </c>
      <c r="G75" s="43">
        <v>1739963.2</v>
      </c>
      <c r="H75" s="60">
        <v>467182</v>
      </c>
    </row>
    <row r="76" spans="1:8" ht="21" customHeight="1">
      <c r="A76" s="58" t="s">
        <v>96</v>
      </c>
      <c r="B76" s="59">
        <v>2014</v>
      </c>
      <c r="C76" s="16">
        <v>1876548.9</v>
      </c>
      <c r="D76" s="43">
        <f>1087228.5</f>
        <v>1087228.5</v>
      </c>
      <c r="E76" s="60">
        <v>789320.4</v>
      </c>
      <c r="F76" s="43">
        <f>2707373.9</f>
        <v>2707373.9</v>
      </c>
      <c r="G76" s="43">
        <f>1821067.1</f>
        <v>1821067.1</v>
      </c>
      <c r="H76" s="60">
        <v>886306.8</v>
      </c>
    </row>
    <row r="77" spans="1:8" ht="15" customHeight="1">
      <c r="A77" s="53"/>
      <c r="B77" s="59">
        <v>2015</v>
      </c>
      <c r="C77" s="16">
        <v>2175447.7000000002</v>
      </c>
      <c r="D77" s="43">
        <v>1139080</v>
      </c>
      <c r="E77" s="66">
        <v>1036367.7</v>
      </c>
      <c r="F77" s="43">
        <v>2716914.1</v>
      </c>
      <c r="G77" s="43">
        <v>1961811.8</v>
      </c>
      <c r="H77" s="60">
        <v>755102.3</v>
      </c>
    </row>
    <row r="78" spans="1:8" ht="15" customHeight="1">
      <c r="A78" s="53"/>
      <c r="B78" s="59">
        <v>2016</v>
      </c>
      <c r="C78" s="16">
        <v>1697690.1</v>
      </c>
      <c r="D78" s="43">
        <v>1206624.7</v>
      </c>
      <c r="E78" s="66">
        <v>491065.4</v>
      </c>
      <c r="F78" s="43">
        <v>2589253.7999999998</v>
      </c>
      <c r="G78" s="43">
        <v>2047015.6</v>
      </c>
      <c r="H78" s="60">
        <v>542238.19999999995</v>
      </c>
    </row>
    <row r="79" spans="1:8" ht="15" customHeight="1">
      <c r="A79" s="53"/>
      <c r="B79" s="59">
        <v>2017</v>
      </c>
      <c r="C79" s="16">
        <v>1965348.8</v>
      </c>
      <c r="D79" s="43">
        <v>1435105.9</v>
      </c>
      <c r="E79" s="66">
        <v>530242.9</v>
      </c>
      <c r="F79" s="43">
        <f>2760488.8</f>
        <v>2760488.8</v>
      </c>
      <c r="G79" s="43">
        <f>2256935.1</f>
        <v>2256935.1</v>
      </c>
      <c r="H79" s="60">
        <v>503553.7</v>
      </c>
    </row>
    <row r="80" spans="1:8" ht="15" customHeight="1">
      <c r="A80" s="53"/>
      <c r="B80" s="59">
        <v>2018</v>
      </c>
      <c r="C80" s="16">
        <v>2563887.6</v>
      </c>
      <c r="D80" s="43">
        <v>2175676.2999999998</v>
      </c>
      <c r="E80" s="163">
        <v>388211.3</v>
      </c>
      <c r="F80" s="43">
        <v>3431429.7</v>
      </c>
      <c r="G80" s="43">
        <v>3022469.6</v>
      </c>
      <c r="H80" s="60">
        <v>408960.1</v>
      </c>
    </row>
    <row r="81" spans="1:8" ht="21" customHeight="1">
      <c r="A81" s="58" t="s">
        <v>97</v>
      </c>
      <c r="B81" s="59">
        <v>2014</v>
      </c>
      <c r="C81" s="16">
        <v>8241526.7000000002</v>
      </c>
      <c r="D81" s="43">
        <v>6506058.4000000004</v>
      </c>
      <c r="E81" s="66">
        <v>1735468.3</v>
      </c>
      <c r="F81" s="43">
        <f>7308844.3</f>
        <v>7308844.2999999998</v>
      </c>
      <c r="G81" s="43">
        <f>5760116.8</f>
        <v>5760116.7999999998</v>
      </c>
      <c r="H81" s="60">
        <v>1548727.5</v>
      </c>
    </row>
    <row r="82" spans="1:8" ht="15" customHeight="1">
      <c r="A82" s="53"/>
      <c r="B82" s="59">
        <v>2015</v>
      </c>
      <c r="C82" s="16">
        <v>9167019.9000000004</v>
      </c>
      <c r="D82" s="43">
        <v>6619245.2999999998</v>
      </c>
      <c r="E82" s="66">
        <v>2547774.6</v>
      </c>
      <c r="F82" s="43">
        <v>8147073.5</v>
      </c>
      <c r="G82" s="43">
        <v>5888881.9000000004</v>
      </c>
      <c r="H82" s="60">
        <v>2258191.6</v>
      </c>
    </row>
    <row r="83" spans="1:8" ht="15" customHeight="1">
      <c r="A83" s="53"/>
      <c r="B83" s="59">
        <v>2016</v>
      </c>
      <c r="C83" s="16">
        <v>7495730</v>
      </c>
      <c r="D83" s="43">
        <v>5728717.2999999998</v>
      </c>
      <c r="E83" s="66">
        <v>1767012.7</v>
      </c>
      <c r="F83" s="43">
        <v>7571140.9000000004</v>
      </c>
      <c r="G83" s="43">
        <v>5972647.0999999996</v>
      </c>
      <c r="H83" s="60">
        <v>1598493.8</v>
      </c>
    </row>
    <row r="84" spans="1:8" ht="15" customHeight="1">
      <c r="A84" s="53"/>
      <c r="B84" s="59">
        <v>2017</v>
      </c>
      <c r="C84" s="16">
        <v>8427920</v>
      </c>
      <c r="D84" s="43">
        <v>6465380</v>
      </c>
      <c r="E84" s="60">
        <v>1962540</v>
      </c>
      <c r="F84" s="43">
        <f>8419969.6</f>
        <v>8419969.5999999996</v>
      </c>
      <c r="G84" s="43">
        <f>6532457</f>
        <v>6532457</v>
      </c>
      <c r="H84" s="60">
        <v>1887512.6</v>
      </c>
    </row>
    <row r="85" spans="1:8" ht="15" customHeight="1">
      <c r="A85" s="53"/>
      <c r="B85" s="59">
        <v>2018</v>
      </c>
      <c r="C85" s="16">
        <v>11163462.9</v>
      </c>
      <c r="D85" s="43">
        <v>9014818.8000000007</v>
      </c>
      <c r="E85" s="163">
        <v>2148644.1</v>
      </c>
      <c r="F85" s="43">
        <v>10413578.9</v>
      </c>
      <c r="G85" s="43">
        <v>8319530</v>
      </c>
      <c r="H85" s="60">
        <v>2094048.9</v>
      </c>
    </row>
    <row r="86" spans="1:8" ht="21" customHeight="1">
      <c r="A86" s="58" t="s">
        <v>98</v>
      </c>
      <c r="B86" s="59">
        <v>2014</v>
      </c>
      <c r="C86" s="16">
        <v>2907402.5</v>
      </c>
      <c r="D86" s="43">
        <v>2676399.1</v>
      </c>
      <c r="E86" s="66">
        <v>231003.4</v>
      </c>
      <c r="F86" s="43">
        <f>3462521</f>
        <v>3462521</v>
      </c>
      <c r="G86" s="43">
        <f>3009870.7</f>
        <v>3009870.7</v>
      </c>
      <c r="H86" s="60">
        <v>452650.3</v>
      </c>
    </row>
    <row r="87" spans="1:8" ht="15" customHeight="1">
      <c r="A87" s="68"/>
      <c r="B87" s="59">
        <v>2015</v>
      </c>
      <c r="C87" s="16">
        <v>3445215.5</v>
      </c>
      <c r="D87" s="43">
        <v>3236893</v>
      </c>
      <c r="E87" s="66">
        <v>208322.5</v>
      </c>
      <c r="F87" s="43">
        <v>3814007.8</v>
      </c>
      <c r="G87" s="43">
        <v>3301214</v>
      </c>
      <c r="H87" s="60">
        <v>512793.8</v>
      </c>
    </row>
    <row r="88" spans="1:8" ht="15" customHeight="1">
      <c r="A88" s="68"/>
      <c r="B88" s="59">
        <v>2016</v>
      </c>
      <c r="C88" s="16">
        <v>2271022.7999999998</v>
      </c>
      <c r="D88" s="43">
        <v>1929513.9</v>
      </c>
      <c r="E88" s="66">
        <v>341508.9</v>
      </c>
      <c r="F88" s="43">
        <v>2894450.2</v>
      </c>
      <c r="G88" s="43">
        <v>2374093.2000000002</v>
      </c>
      <c r="H88" s="60">
        <v>520357</v>
      </c>
    </row>
    <row r="89" spans="1:8" ht="15" customHeight="1">
      <c r="A89" s="68"/>
      <c r="B89" s="59">
        <v>2017</v>
      </c>
      <c r="C89" s="16">
        <v>2596977.5</v>
      </c>
      <c r="D89" s="43">
        <v>2227097</v>
      </c>
      <c r="E89" s="60">
        <v>369880.5</v>
      </c>
      <c r="F89" s="43">
        <f>3955304.3</f>
        <v>3955304.3</v>
      </c>
      <c r="G89" s="43">
        <f>3464769.2</f>
        <v>3464769.2</v>
      </c>
      <c r="H89" s="60">
        <v>490535.1</v>
      </c>
    </row>
    <row r="90" spans="1:8" ht="15" customHeight="1">
      <c r="B90" s="59">
        <v>2018</v>
      </c>
      <c r="C90" s="16">
        <v>3152908.3</v>
      </c>
      <c r="D90" s="43">
        <v>2618908.9</v>
      </c>
      <c r="E90" s="163">
        <v>533999.4</v>
      </c>
      <c r="F90" s="43">
        <v>4494882.0999999996</v>
      </c>
      <c r="G90" s="43">
        <v>3890595.5</v>
      </c>
      <c r="H90" s="60">
        <v>604286.6</v>
      </c>
    </row>
  </sheetData>
  <mergeCells count="5">
    <mergeCell ref="A2:H2"/>
    <mergeCell ref="A3:B5"/>
    <mergeCell ref="C3:E3"/>
    <mergeCell ref="F3:H3"/>
    <mergeCell ref="C5:H5"/>
  </mergeCells>
  <printOptions horizontalCentered="1"/>
  <pageMargins left="0.39370078740157483" right="0.39370078740157483" top="0.59055118110236227" bottom="0.59055118110236227" header="0.31496062992125984" footer="0.31496062992125984"/>
  <pageSetup paperSize="9" scale="59" fitToHeight="0" orientation="portrait" r:id="rId1"/>
  <headerFooter>
    <oddFooter>&amp;C&amp;9Strona &amp;P z &amp;N</oddFooter>
  </headerFooter>
  <rowBreaks count="1" manualBreakCount="1">
    <brk id="70"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34"/>
  <sheetViews>
    <sheetView zoomScale="90" zoomScaleNormal="90" workbookViewId="0">
      <pane xSplit="1" ySplit="5" topLeftCell="B6" activePane="bottomRight" state="frozen"/>
      <selection activeCell="A2" sqref="A2:P2"/>
      <selection pane="topRight" activeCell="A2" sqref="A2:P2"/>
      <selection pane="bottomLeft" activeCell="A2" sqref="A2:P2"/>
      <selection pane="bottomRight" activeCell="A2" sqref="A2:P2"/>
    </sheetView>
  </sheetViews>
  <sheetFormatPr defaultColWidth="9.140625" defaultRowHeight="12.75"/>
  <cols>
    <col min="1" max="1" width="60" style="31" customWidth="1"/>
    <col min="2" max="16" width="15.7109375" style="31" customWidth="1"/>
    <col min="17" max="16384" width="9.140625" style="31"/>
  </cols>
  <sheetData>
    <row r="2" spans="1:16" s="35" customFormat="1" ht="30" customHeight="1">
      <c r="A2" s="295" t="s">
        <v>300</v>
      </c>
      <c r="B2" s="295"/>
      <c r="C2" s="295"/>
      <c r="D2" s="295"/>
      <c r="E2" s="295"/>
      <c r="F2" s="295"/>
      <c r="G2" s="295"/>
      <c r="H2" s="295"/>
      <c r="I2" s="295"/>
      <c r="J2" s="295"/>
      <c r="K2" s="283"/>
      <c r="L2" s="283"/>
      <c r="M2" s="283"/>
      <c r="N2" s="283"/>
      <c r="O2" s="283"/>
      <c r="P2" s="283"/>
    </row>
    <row r="3" spans="1:16" ht="33" customHeight="1">
      <c r="A3" s="285" t="s">
        <v>129</v>
      </c>
      <c r="B3" s="299" t="s">
        <v>187</v>
      </c>
      <c r="C3" s="299"/>
      <c r="D3" s="299"/>
      <c r="E3" s="299"/>
      <c r="F3" s="300"/>
      <c r="G3" s="299" t="s">
        <v>189</v>
      </c>
      <c r="H3" s="299"/>
      <c r="I3" s="299"/>
      <c r="J3" s="299"/>
      <c r="K3" s="299"/>
      <c r="L3" s="296" t="s">
        <v>190</v>
      </c>
      <c r="M3" s="296"/>
      <c r="N3" s="296"/>
      <c r="O3" s="296"/>
      <c r="P3" s="296"/>
    </row>
    <row r="4" spans="1:16" ht="33" customHeight="1">
      <c r="A4" s="287"/>
      <c r="B4" s="174">
        <v>2014</v>
      </c>
      <c r="C4" s="174">
        <v>2015</v>
      </c>
      <c r="D4" s="174">
        <v>2016</v>
      </c>
      <c r="E4" s="174">
        <v>2017</v>
      </c>
      <c r="F4" s="174">
        <v>2018</v>
      </c>
      <c r="G4" s="174">
        <v>2014</v>
      </c>
      <c r="H4" s="174">
        <v>2015</v>
      </c>
      <c r="I4" s="174">
        <v>2016</v>
      </c>
      <c r="J4" s="175">
        <v>2017</v>
      </c>
      <c r="K4" s="175">
        <v>2018</v>
      </c>
      <c r="L4" s="174">
        <v>2014</v>
      </c>
      <c r="M4" s="174">
        <v>2015</v>
      </c>
      <c r="N4" s="174">
        <v>2016</v>
      </c>
      <c r="O4" s="175">
        <v>2017</v>
      </c>
      <c r="P4" s="175">
        <v>2018</v>
      </c>
    </row>
    <row r="5" spans="1:16" ht="33" customHeight="1" thickBot="1">
      <c r="A5" s="289"/>
      <c r="B5" s="297" t="s">
        <v>188</v>
      </c>
      <c r="C5" s="297"/>
      <c r="D5" s="297"/>
      <c r="E5" s="297"/>
      <c r="F5" s="297"/>
      <c r="G5" s="297"/>
      <c r="H5" s="297"/>
      <c r="I5" s="297"/>
      <c r="J5" s="297"/>
      <c r="K5" s="297"/>
      <c r="L5" s="298"/>
      <c r="M5" s="298"/>
      <c r="N5" s="298"/>
      <c r="O5" s="298"/>
      <c r="P5" s="298"/>
    </row>
    <row r="6" spans="1:16" ht="33" customHeight="1">
      <c r="A6" s="208" t="s">
        <v>267</v>
      </c>
      <c r="B6" s="114">
        <v>88335585</v>
      </c>
      <c r="C6" s="56">
        <v>88637432.400000006</v>
      </c>
      <c r="D6" s="55">
        <v>77096295.799999997</v>
      </c>
      <c r="E6" s="69">
        <v>86619605.799999997</v>
      </c>
      <c r="F6" s="162">
        <v>105436459.40000001</v>
      </c>
      <c r="G6" s="55">
        <v>63951310</v>
      </c>
      <c r="H6" s="56">
        <v>63913479.200000003</v>
      </c>
      <c r="I6" s="57">
        <v>58417138</v>
      </c>
      <c r="J6" s="55">
        <v>66134607.100000001</v>
      </c>
      <c r="K6" s="55">
        <v>83143124.599999994</v>
      </c>
      <c r="L6" s="156">
        <v>24384275</v>
      </c>
      <c r="M6" s="156">
        <v>24723953.199999999</v>
      </c>
      <c r="N6" s="156">
        <v>18679157.800000001</v>
      </c>
      <c r="O6" s="156">
        <v>20484998.699999999</v>
      </c>
      <c r="P6" s="171">
        <v>22293334.800000001</v>
      </c>
    </row>
    <row r="7" spans="1:16" ht="30" customHeight="1">
      <c r="A7" s="209" t="s">
        <v>268</v>
      </c>
      <c r="B7" s="56">
        <f>B8+B12</f>
        <v>39317180.200000003</v>
      </c>
      <c r="C7" s="55">
        <f>C8+C12</f>
        <v>41740073.799999997</v>
      </c>
      <c r="D7" s="56">
        <f>D8+D12</f>
        <v>39335031.700000003</v>
      </c>
      <c r="E7" s="55">
        <f>E8+E12</f>
        <v>43808654.899999999</v>
      </c>
      <c r="F7" s="55">
        <v>52249158</v>
      </c>
      <c r="G7" s="56">
        <f>G8+G12</f>
        <v>27989695.600000001</v>
      </c>
      <c r="H7" s="55">
        <f>H8+H12</f>
        <v>29811678.100000001</v>
      </c>
      <c r="I7" s="56">
        <f>I8+I12</f>
        <v>30169348</v>
      </c>
      <c r="J7" s="55">
        <f>J8+J12</f>
        <v>33647276.100000001</v>
      </c>
      <c r="K7" s="55">
        <v>40936828.799999997</v>
      </c>
      <c r="L7" s="55">
        <v>11327484.6</v>
      </c>
      <c r="M7" s="55">
        <v>11928395.699999999</v>
      </c>
      <c r="N7" s="55">
        <v>9165683.6999999993</v>
      </c>
      <c r="O7" s="55">
        <v>10161378.800000001</v>
      </c>
      <c r="P7" s="57">
        <v>11312329.199999999</v>
      </c>
    </row>
    <row r="8" spans="1:16" ht="30" customHeight="1">
      <c r="A8" s="210" t="s">
        <v>269</v>
      </c>
      <c r="B8" s="56">
        <v>10565433.6</v>
      </c>
      <c r="C8" s="55">
        <v>11940746.699999999</v>
      </c>
      <c r="D8" s="56">
        <v>13028587.800000001</v>
      </c>
      <c r="E8" s="3">
        <v>14705716.9</v>
      </c>
      <c r="F8" s="55">
        <v>17405004.600000001</v>
      </c>
      <c r="G8" s="56">
        <v>7126645.5</v>
      </c>
      <c r="H8" s="55">
        <v>8559446.0999999996</v>
      </c>
      <c r="I8" s="56">
        <v>10145542.6</v>
      </c>
      <c r="J8" s="3">
        <v>11566641.800000001</v>
      </c>
      <c r="K8" s="55">
        <v>13957427</v>
      </c>
      <c r="L8" s="55">
        <v>3438788.1</v>
      </c>
      <c r="M8" s="55">
        <v>3381300.6</v>
      </c>
      <c r="N8" s="55">
        <v>2883045.2</v>
      </c>
      <c r="O8" s="55">
        <v>3139075.1</v>
      </c>
      <c r="P8" s="57">
        <v>3447577.6</v>
      </c>
    </row>
    <row r="9" spans="1:16" ht="30" customHeight="1">
      <c r="A9" s="211" t="s">
        <v>212</v>
      </c>
      <c r="B9" s="60">
        <v>1563673.1</v>
      </c>
      <c r="C9" s="43">
        <v>1612660.3</v>
      </c>
      <c r="D9" s="67">
        <v>1663940.7</v>
      </c>
      <c r="E9" s="14">
        <v>2169563.4</v>
      </c>
      <c r="F9" s="70">
        <v>2444728.9</v>
      </c>
      <c r="G9" s="67">
        <v>923839.3</v>
      </c>
      <c r="H9" s="67">
        <v>1013858.7</v>
      </c>
      <c r="I9" s="60">
        <v>1137597.2</v>
      </c>
      <c r="J9" s="43">
        <v>1506276.4</v>
      </c>
      <c r="K9" s="43">
        <v>1758423.3</v>
      </c>
      <c r="L9" s="43">
        <v>639833.80000000005</v>
      </c>
      <c r="M9" s="43">
        <v>598801.6</v>
      </c>
      <c r="N9" s="43">
        <v>526343.5</v>
      </c>
      <c r="O9" s="43">
        <v>663287</v>
      </c>
      <c r="P9" s="44">
        <v>686305.6</v>
      </c>
    </row>
    <row r="10" spans="1:16" ht="30" customHeight="1">
      <c r="A10" s="211" t="s">
        <v>213</v>
      </c>
      <c r="B10" s="67">
        <v>7353838.9000000004</v>
      </c>
      <c r="C10" s="43">
        <v>9601530.5</v>
      </c>
      <c r="D10" s="67">
        <v>10728948.6</v>
      </c>
      <c r="E10" s="70">
        <v>11131353.300000001</v>
      </c>
      <c r="F10" s="70">
        <v>13664544.199999999</v>
      </c>
      <c r="G10" s="67">
        <v>5302399.9000000004</v>
      </c>
      <c r="H10" s="67">
        <v>7265434.2999999998</v>
      </c>
      <c r="I10" s="60">
        <v>8672523.4000000004</v>
      </c>
      <c r="J10" s="43">
        <v>9131150.8000000007</v>
      </c>
      <c r="K10" s="43">
        <v>11307039.699999999</v>
      </c>
      <c r="L10" s="43">
        <v>2051439</v>
      </c>
      <c r="M10" s="43">
        <v>2336096.2000000002</v>
      </c>
      <c r="N10" s="43">
        <v>2056425.2</v>
      </c>
      <c r="O10" s="43">
        <v>2000202.5</v>
      </c>
      <c r="P10" s="44">
        <v>2357504.5</v>
      </c>
    </row>
    <row r="11" spans="1:16" ht="30" customHeight="1">
      <c r="A11" s="211" t="s">
        <v>214</v>
      </c>
      <c r="B11" s="67">
        <v>1647921.6</v>
      </c>
      <c r="C11" s="60">
        <v>726555.9</v>
      </c>
      <c r="D11" s="43">
        <v>635698.5</v>
      </c>
      <c r="E11" s="14">
        <v>1404800.2</v>
      </c>
      <c r="F11" s="14">
        <v>1295731.5</v>
      </c>
      <c r="G11" s="43">
        <v>900406.3</v>
      </c>
      <c r="H11" s="67">
        <v>280153.09999999998</v>
      </c>
      <c r="I11" s="60">
        <v>335422</v>
      </c>
      <c r="J11" s="43">
        <v>929214.6</v>
      </c>
      <c r="K11" s="43">
        <v>891964</v>
      </c>
      <c r="L11" s="43">
        <v>747515.3</v>
      </c>
      <c r="M11" s="43">
        <v>446402.8</v>
      </c>
      <c r="N11" s="43">
        <v>300276.5</v>
      </c>
      <c r="O11" s="43">
        <v>475585.6</v>
      </c>
      <c r="P11" s="44">
        <v>403767.5</v>
      </c>
    </row>
    <row r="12" spans="1:16" ht="30" customHeight="1">
      <c r="A12" s="210" t="s">
        <v>270</v>
      </c>
      <c r="B12" s="114">
        <v>28751746.600000001</v>
      </c>
      <c r="C12" s="56">
        <v>29799327.100000001</v>
      </c>
      <c r="D12" s="55">
        <v>26306443.899999999</v>
      </c>
      <c r="E12" s="3">
        <v>29102938</v>
      </c>
      <c r="F12" s="3">
        <v>34844153.399999999</v>
      </c>
      <c r="G12" s="55">
        <v>20863050.100000001</v>
      </c>
      <c r="H12" s="56">
        <v>21252232</v>
      </c>
      <c r="I12" s="57">
        <v>20023805.399999999</v>
      </c>
      <c r="J12" s="3">
        <v>22080634.300000001</v>
      </c>
      <c r="K12" s="55">
        <v>26979401.800000001</v>
      </c>
      <c r="L12" s="55">
        <v>7888696.5</v>
      </c>
      <c r="M12" s="55">
        <v>8547095.0999999996</v>
      </c>
      <c r="N12" s="55">
        <v>6282638.5</v>
      </c>
      <c r="O12" s="55">
        <v>7022303.7000000002</v>
      </c>
      <c r="P12" s="57">
        <v>7864751.5999999996</v>
      </c>
    </row>
    <row r="13" spans="1:16" ht="30" customHeight="1">
      <c r="A13" s="211" t="s">
        <v>215</v>
      </c>
      <c r="B13" s="67">
        <v>740955</v>
      </c>
      <c r="C13" s="60">
        <v>745019.1</v>
      </c>
      <c r="D13" s="43">
        <v>779968.2</v>
      </c>
      <c r="E13" s="70">
        <v>1132319.2</v>
      </c>
      <c r="F13" s="70">
        <v>1121820.3999999999</v>
      </c>
      <c r="G13" s="43">
        <v>539976.9</v>
      </c>
      <c r="H13" s="60">
        <v>565270.80000000005</v>
      </c>
      <c r="I13" s="44">
        <v>638115.19999999995</v>
      </c>
      <c r="J13" s="43">
        <v>953871.9</v>
      </c>
      <c r="K13" s="43">
        <v>950650.3</v>
      </c>
      <c r="L13" s="43">
        <v>200978.1</v>
      </c>
      <c r="M13" s="43">
        <v>179748.3</v>
      </c>
      <c r="N13" s="43">
        <v>141853</v>
      </c>
      <c r="O13" s="43">
        <v>178447.3</v>
      </c>
      <c r="P13" s="44">
        <v>171170.1</v>
      </c>
    </row>
    <row r="14" spans="1:16" ht="30" customHeight="1">
      <c r="A14" s="211" t="s">
        <v>216</v>
      </c>
      <c r="B14" s="67">
        <v>3456088.6</v>
      </c>
      <c r="C14" s="60">
        <v>3719226.6</v>
      </c>
      <c r="D14" s="43">
        <v>3442388.8</v>
      </c>
      <c r="E14" s="14">
        <v>3870263.2</v>
      </c>
      <c r="F14" s="70">
        <v>4400813</v>
      </c>
      <c r="G14" s="43">
        <v>2472370.2999999998</v>
      </c>
      <c r="H14" s="60">
        <v>2704779.7</v>
      </c>
      <c r="I14" s="44">
        <v>2702990.5</v>
      </c>
      <c r="J14" s="43">
        <v>3169393.2</v>
      </c>
      <c r="K14" s="43">
        <v>3664068.5</v>
      </c>
      <c r="L14" s="43">
        <v>983718.3</v>
      </c>
      <c r="M14" s="43">
        <v>1014446.9</v>
      </c>
      <c r="N14" s="43">
        <v>739398.3</v>
      </c>
      <c r="O14" s="43">
        <v>700870</v>
      </c>
      <c r="P14" s="44">
        <v>736744.5</v>
      </c>
    </row>
    <row r="15" spans="1:16" ht="30" customHeight="1">
      <c r="A15" s="211" t="s">
        <v>217</v>
      </c>
      <c r="B15" s="67">
        <v>6722599.7999999998</v>
      </c>
      <c r="C15" s="60">
        <v>6676875.2000000002</v>
      </c>
      <c r="D15" s="43">
        <v>6411253.7999999998</v>
      </c>
      <c r="E15" s="14">
        <v>6384130</v>
      </c>
      <c r="F15" s="14">
        <v>7320694.7000000002</v>
      </c>
      <c r="G15" s="43">
        <v>4846431.5999999996</v>
      </c>
      <c r="H15" s="60">
        <v>4689799.0999999996</v>
      </c>
      <c r="I15" s="44">
        <v>4784482.2</v>
      </c>
      <c r="J15" s="43">
        <v>4687670.5999999996</v>
      </c>
      <c r="K15" s="43">
        <v>5317743.3</v>
      </c>
      <c r="L15" s="43">
        <v>1876168.2</v>
      </c>
      <c r="M15" s="43">
        <v>1987076.1</v>
      </c>
      <c r="N15" s="43">
        <v>1626771.6</v>
      </c>
      <c r="O15" s="43">
        <v>1696459.4</v>
      </c>
      <c r="P15" s="44">
        <v>2002951.4</v>
      </c>
    </row>
    <row r="16" spans="1:16" ht="30" customHeight="1">
      <c r="A16" s="211" t="s">
        <v>218</v>
      </c>
      <c r="B16" s="67">
        <v>656570.80000000005</v>
      </c>
      <c r="C16" s="60">
        <v>1020840.9</v>
      </c>
      <c r="D16" s="43">
        <v>527845.80000000005</v>
      </c>
      <c r="E16" s="14">
        <v>299861.90000000002</v>
      </c>
      <c r="F16" s="14">
        <v>371661.2</v>
      </c>
      <c r="G16" s="43">
        <v>468725</v>
      </c>
      <c r="H16" s="60">
        <v>667755.4</v>
      </c>
      <c r="I16" s="44">
        <v>399781.2</v>
      </c>
      <c r="J16" s="43">
        <v>233229.4</v>
      </c>
      <c r="K16" s="43">
        <v>251533.8</v>
      </c>
      <c r="L16" s="43">
        <v>187845.8</v>
      </c>
      <c r="M16" s="43">
        <v>353085.5</v>
      </c>
      <c r="N16" s="43">
        <v>128064.6</v>
      </c>
      <c r="O16" s="43">
        <v>66632.5</v>
      </c>
      <c r="P16" s="44">
        <v>120127.4</v>
      </c>
    </row>
    <row r="17" spans="1:16" ht="30" customHeight="1">
      <c r="A17" s="211" t="s">
        <v>219</v>
      </c>
      <c r="B17" s="67">
        <v>9948715.9000000004</v>
      </c>
      <c r="C17" s="60">
        <v>11102445.5</v>
      </c>
      <c r="D17" s="43">
        <v>10194626.9</v>
      </c>
      <c r="E17" s="14">
        <v>11560617.1</v>
      </c>
      <c r="F17" s="14">
        <v>13337906.300000001</v>
      </c>
      <c r="G17" s="43">
        <v>7358079.5</v>
      </c>
      <c r="H17" s="60">
        <v>8161326</v>
      </c>
      <c r="I17" s="44">
        <v>7929333.0999999996</v>
      </c>
      <c r="J17" s="43">
        <v>8746107.4000000004</v>
      </c>
      <c r="K17" s="43">
        <v>10710041.6</v>
      </c>
      <c r="L17" s="43">
        <v>2590636.4</v>
      </c>
      <c r="M17" s="43">
        <v>2941119.5</v>
      </c>
      <c r="N17" s="43">
        <v>2265293.7999999998</v>
      </c>
      <c r="O17" s="43">
        <v>2814509.7</v>
      </c>
      <c r="P17" s="44">
        <v>2627864.7000000002</v>
      </c>
    </row>
    <row r="18" spans="1:16" ht="63.75">
      <c r="A18" s="211" t="s">
        <v>220</v>
      </c>
      <c r="B18" s="67">
        <v>5775948.5</v>
      </c>
      <c r="C18" s="60">
        <v>4890648.8</v>
      </c>
      <c r="D18" s="43">
        <v>3543789.8</v>
      </c>
      <c r="E18" s="71">
        <v>4331980.5999999996</v>
      </c>
      <c r="F18" s="14">
        <v>6737583.9000000004</v>
      </c>
      <c r="G18" s="43">
        <v>4337403.5</v>
      </c>
      <c r="H18" s="60">
        <v>3492890.8</v>
      </c>
      <c r="I18" s="44">
        <v>2643671.7999999998</v>
      </c>
      <c r="J18" s="43">
        <v>3202750.9</v>
      </c>
      <c r="K18" s="43">
        <v>5080163.8</v>
      </c>
      <c r="L18" s="43">
        <v>1438545</v>
      </c>
      <c r="M18" s="43">
        <v>1397758</v>
      </c>
      <c r="N18" s="43">
        <v>900118</v>
      </c>
      <c r="O18" s="43">
        <v>1129229.7</v>
      </c>
      <c r="P18" s="44">
        <v>1657420.1</v>
      </c>
    </row>
    <row r="19" spans="1:16" ht="30" customHeight="1">
      <c r="A19" s="211" t="s">
        <v>221</v>
      </c>
      <c r="B19" s="67">
        <v>1450868</v>
      </c>
      <c r="C19" s="60">
        <v>1644271</v>
      </c>
      <c r="D19" s="43">
        <v>1406570.6</v>
      </c>
      <c r="E19" s="14">
        <v>1523766</v>
      </c>
      <c r="F19" s="70">
        <v>1553673.9</v>
      </c>
      <c r="G19" s="43">
        <v>840063.3</v>
      </c>
      <c r="H19" s="60">
        <v>970410.2</v>
      </c>
      <c r="I19" s="44">
        <v>925431.4</v>
      </c>
      <c r="J19" s="14">
        <v>1087610.8999999999</v>
      </c>
      <c r="K19" s="14">
        <v>1005200.5</v>
      </c>
      <c r="L19" s="43">
        <v>610804.69999999995</v>
      </c>
      <c r="M19" s="43">
        <v>673860.8</v>
      </c>
      <c r="N19" s="43">
        <v>481139.20000000001</v>
      </c>
      <c r="O19" s="43">
        <v>436155.1</v>
      </c>
      <c r="P19" s="44">
        <v>548473.4</v>
      </c>
    </row>
    <row r="20" spans="1:16" ht="30" customHeight="1">
      <c r="A20" s="212" t="s">
        <v>271</v>
      </c>
      <c r="B20" s="114">
        <v>49018404.799999997</v>
      </c>
      <c r="C20" s="56">
        <v>46897358.600000001</v>
      </c>
      <c r="D20" s="55">
        <v>37761264.100000001</v>
      </c>
      <c r="E20" s="3">
        <v>42810950.899999999</v>
      </c>
      <c r="F20" s="153">
        <v>53187301.399999999</v>
      </c>
      <c r="G20" s="55">
        <v>35961614.399999999</v>
      </c>
      <c r="H20" s="56">
        <v>34101801.100000001</v>
      </c>
      <c r="I20" s="57">
        <v>28247790</v>
      </c>
      <c r="J20" s="73">
        <v>32487331</v>
      </c>
      <c r="K20" s="55">
        <v>42206295.799999997</v>
      </c>
      <c r="L20" s="55">
        <v>13056790.4</v>
      </c>
      <c r="M20" s="55">
        <v>12795557.5</v>
      </c>
      <c r="N20" s="55">
        <v>9513474.0999999996</v>
      </c>
      <c r="O20" s="55">
        <v>10323619.9</v>
      </c>
      <c r="P20" s="57">
        <v>10981005.6</v>
      </c>
    </row>
    <row r="21" spans="1:16" ht="30" customHeight="1">
      <c r="A21" s="217" t="s">
        <v>222</v>
      </c>
      <c r="B21" s="67">
        <v>16891296.600000001</v>
      </c>
      <c r="C21" s="60">
        <v>15324424.1</v>
      </c>
      <c r="D21" s="43">
        <v>14894105.199999999</v>
      </c>
      <c r="E21" s="14">
        <v>17840170.300000001</v>
      </c>
      <c r="F21" s="14">
        <v>21936438.699999999</v>
      </c>
      <c r="G21" s="43">
        <v>12115546.9</v>
      </c>
      <c r="H21" s="60">
        <v>10832560.699999999</v>
      </c>
      <c r="I21" s="44">
        <v>11062987.699999999</v>
      </c>
      <c r="J21" s="43">
        <v>13707426.1</v>
      </c>
      <c r="K21" s="43">
        <v>17534319.100000001</v>
      </c>
      <c r="L21" s="43">
        <v>4775749.7</v>
      </c>
      <c r="M21" s="43">
        <v>4491863.4000000004</v>
      </c>
      <c r="N21" s="43">
        <v>3831117.5</v>
      </c>
      <c r="O21" s="43">
        <v>4132744.2</v>
      </c>
      <c r="P21" s="44">
        <v>4402119.5999999996</v>
      </c>
    </row>
    <row r="22" spans="1:16" s="129" customFormat="1" ht="30" customHeight="1">
      <c r="A22" s="215" t="s">
        <v>223</v>
      </c>
      <c r="B22" s="126">
        <v>6135419.4000000004</v>
      </c>
      <c r="C22" s="127">
        <v>5174329.9000000004</v>
      </c>
      <c r="D22" s="125">
        <v>3379875.6</v>
      </c>
      <c r="E22" s="75">
        <v>4428685</v>
      </c>
      <c r="F22" s="75">
        <v>6534399</v>
      </c>
      <c r="G22" s="125">
        <v>4451598.5999999996</v>
      </c>
      <c r="H22" s="127">
        <v>3767933.4</v>
      </c>
      <c r="I22" s="128">
        <v>2506844.2999999998</v>
      </c>
      <c r="J22" s="125">
        <v>3255228.3</v>
      </c>
      <c r="K22" s="125">
        <v>5296761.5999999996</v>
      </c>
      <c r="L22" s="125">
        <v>1683820.8</v>
      </c>
      <c r="M22" s="125">
        <v>1406396.5</v>
      </c>
      <c r="N22" s="125">
        <v>873031.3</v>
      </c>
      <c r="O22" s="125">
        <v>1173456.7</v>
      </c>
      <c r="P22" s="128">
        <v>1237637.3999999999</v>
      </c>
    </row>
    <row r="23" spans="1:16" s="129" customFormat="1" ht="30" customHeight="1">
      <c r="A23" s="215" t="s">
        <v>224</v>
      </c>
      <c r="B23" s="126">
        <v>576721.80000000005</v>
      </c>
      <c r="C23" s="127">
        <v>320242.2</v>
      </c>
      <c r="D23" s="125">
        <v>105430.5</v>
      </c>
      <c r="E23" s="130">
        <v>146479.70000000001</v>
      </c>
      <c r="F23" s="75">
        <v>170836.5</v>
      </c>
      <c r="G23" s="125">
        <v>534069.4</v>
      </c>
      <c r="H23" s="127">
        <v>290310.7</v>
      </c>
      <c r="I23" s="128">
        <v>78337.7</v>
      </c>
      <c r="J23" s="125">
        <v>106466</v>
      </c>
      <c r="K23" s="125" t="s">
        <v>99</v>
      </c>
      <c r="L23" s="125">
        <v>42652.4</v>
      </c>
      <c r="M23" s="125">
        <v>29931.5</v>
      </c>
      <c r="N23" s="125">
        <v>27092.799999999999</v>
      </c>
      <c r="O23" s="125">
        <v>40013.699999999997</v>
      </c>
      <c r="P23" s="128" t="s">
        <v>99</v>
      </c>
    </row>
    <row r="24" spans="1:16" s="129" customFormat="1" ht="38.25">
      <c r="A24" s="215" t="s">
        <v>225</v>
      </c>
      <c r="B24" s="126">
        <v>2588972.5</v>
      </c>
      <c r="C24" s="127">
        <v>2506813.7999999998</v>
      </c>
      <c r="D24" s="125">
        <v>2592441.1</v>
      </c>
      <c r="E24" s="75">
        <v>2678718.5</v>
      </c>
      <c r="F24" s="75">
        <v>2893919.7</v>
      </c>
      <c r="G24" s="125">
        <v>1415899.7</v>
      </c>
      <c r="H24" s="127">
        <v>1562234.4</v>
      </c>
      <c r="I24" s="128">
        <v>1978571.2</v>
      </c>
      <c r="J24" s="125">
        <v>2088111.8</v>
      </c>
      <c r="K24" s="125">
        <v>2542563.1</v>
      </c>
      <c r="L24" s="125">
        <v>1173072.8</v>
      </c>
      <c r="M24" s="125">
        <v>944579.4</v>
      </c>
      <c r="N24" s="125">
        <v>613869.9</v>
      </c>
      <c r="O24" s="125">
        <v>590606.69999999995</v>
      </c>
      <c r="P24" s="128">
        <v>351356.6</v>
      </c>
    </row>
    <row r="25" spans="1:16" s="129" customFormat="1" ht="30" customHeight="1">
      <c r="A25" s="215" t="s">
        <v>226</v>
      </c>
      <c r="B25" s="126">
        <v>2188349.2000000002</v>
      </c>
      <c r="C25" s="127">
        <v>1448051.7</v>
      </c>
      <c r="D25" s="125">
        <v>664136.6</v>
      </c>
      <c r="E25" s="75">
        <v>734217.9</v>
      </c>
      <c r="F25" s="75">
        <v>680977.4</v>
      </c>
      <c r="G25" s="125">
        <v>1846504.2</v>
      </c>
      <c r="H25" s="127">
        <v>1170082.8</v>
      </c>
      <c r="I25" s="128">
        <v>562060.5</v>
      </c>
      <c r="J25" s="125">
        <v>576056.9</v>
      </c>
      <c r="K25" s="125" t="s">
        <v>99</v>
      </c>
      <c r="L25" s="125">
        <v>341845</v>
      </c>
      <c r="M25" s="125">
        <v>277968.90000000002</v>
      </c>
      <c r="N25" s="125">
        <v>102076.1</v>
      </c>
      <c r="O25" s="125">
        <v>158161</v>
      </c>
      <c r="P25" s="128" t="s">
        <v>99</v>
      </c>
    </row>
    <row r="26" spans="1:16" ht="51">
      <c r="A26" s="216" t="s">
        <v>227</v>
      </c>
      <c r="B26" s="67">
        <v>5648808.0999999996</v>
      </c>
      <c r="C26" s="60">
        <v>6586590.4000000004</v>
      </c>
      <c r="D26" s="43">
        <v>4960970.7</v>
      </c>
      <c r="E26" s="14">
        <v>5391169.7999999998</v>
      </c>
      <c r="F26" s="14">
        <v>6495898.7999999998</v>
      </c>
      <c r="G26" s="43">
        <v>4027571.5</v>
      </c>
      <c r="H26" s="60">
        <v>4562198.2</v>
      </c>
      <c r="I26" s="44">
        <v>3714062.3</v>
      </c>
      <c r="J26" s="43">
        <v>4080641.7</v>
      </c>
      <c r="K26" s="43">
        <v>5290119.9000000004</v>
      </c>
      <c r="L26" s="43">
        <v>1621236.6</v>
      </c>
      <c r="M26" s="43">
        <v>2024392.2</v>
      </c>
      <c r="N26" s="43">
        <v>1246908.3999999999</v>
      </c>
      <c r="O26" s="43">
        <v>1310528.1000000001</v>
      </c>
      <c r="P26" s="44">
        <v>1205778.8999999999</v>
      </c>
    </row>
    <row r="27" spans="1:16" ht="30" customHeight="1">
      <c r="A27" s="216" t="s">
        <v>228</v>
      </c>
      <c r="B27" s="67">
        <v>7741940.5999999996</v>
      </c>
      <c r="C27" s="60">
        <v>7699090.7999999998</v>
      </c>
      <c r="D27" s="43">
        <v>4486714.3</v>
      </c>
      <c r="E27" s="14">
        <v>4928443.4000000004</v>
      </c>
      <c r="F27" s="71">
        <v>7613198</v>
      </c>
      <c r="G27" s="43">
        <v>6044478.4000000004</v>
      </c>
      <c r="H27" s="60">
        <v>6063281.4000000004</v>
      </c>
      <c r="I27" s="44">
        <v>3497228.1</v>
      </c>
      <c r="J27" s="43">
        <v>3807997.2</v>
      </c>
      <c r="K27" s="43">
        <v>6096621.2000000002</v>
      </c>
      <c r="L27" s="43">
        <v>1697462.2</v>
      </c>
      <c r="M27" s="43">
        <v>1635809.4</v>
      </c>
      <c r="N27" s="43">
        <v>989486.2</v>
      </c>
      <c r="O27" s="43">
        <v>1120446.2</v>
      </c>
      <c r="P27" s="44">
        <v>1516576.8</v>
      </c>
    </row>
    <row r="28" spans="1:16" ht="30" customHeight="1">
      <c r="A28" s="214" t="s">
        <v>229</v>
      </c>
      <c r="B28" s="67">
        <v>1535010.8</v>
      </c>
      <c r="C28" s="60">
        <v>1515572</v>
      </c>
      <c r="D28" s="43">
        <v>547389.9</v>
      </c>
      <c r="E28" s="71">
        <v>631581.69999999995</v>
      </c>
      <c r="F28" s="71">
        <v>1469386.5</v>
      </c>
      <c r="G28" s="43">
        <v>1146347.8999999999</v>
      </c>
      <c r="H28" s="60">
        <v>1070512.2</v>
      </c>
      <c r="I28" s="44">
        <v>412729.5</v>
      </c>
      <c r="J28" s="43">
        <v>479996.9</v>
      </c>
      <c r="K28" s="43">
        <v>1239966.5</v>
      </c>
      <c r="L28" s="43">
        <v>388662.9</v>
      </c>
      <c r="M28" s="43">
        <v>445059.8</v>
      </c>
      <c r="N28" s="43">
        <v>134660.4</v>
      </c>
      <c r="O28" s="43">
        <v>151584.79999999999</v>
      </c>
      <c r="P28" s="44">
        <v>229420</v>
      </c>
    </row>
    <row r="29" spans="1:16" ht="30" customHeight="1">
      <c r="A29" s="216" t="s">
        <v>230</v>
      </c>
      <c r="B29" s="67">
        <v>6039143.5</v>
      </c>
      <c r="C29" s="60">
        <v>6710260.5</v>
      </c>
      <c r="D29" s="43">
        <v>5696340.2000000002</v>
      </c>
      <c r="E29" s="14">
        <v>5404653.2000000002</v>
      </c>
      <c r="F29" s="14">
        <v>5158763.7</v>
      </c>
      <c r="G29" s="43">
        <v>4575999.5999999996</v>
      </c>
      <c r="H29" s="60">
        <v>5084966.9000000004</v>
      </c>
      <c r="I29" s="44">
        <v>4041592.1</v>
      </c>
      <c r="J29" s="43">
        <v>3864262.1</v>
      </c>
      <c r="K29" s="14">
        <v>3386014.6</v>
      </c>
      <c r="L29" s="43">
        <v>1463143.9</v>
      </c>
      <c r="M29" s="43">
        <v>1625293.6</v>
      </c>
      <c r="N29" s="43">
        <v>1654748.1</v>
      </c>
      <c r="O29" s="43">
        <v>1540391.1</v>
      </c>
      <c r="P29" s="44">
        <v>1772749.1</v>
      </c>
    </row>
    <row r="30" spans="1:16" ht="30" customHeight="1">
      <c r="A30" s="216" t="s">
        <v>231</v>
      </c>
      <c r="B30" s="67">
        <v>706060.1</v>
      </c>
      <c r="C30" s="60">
        <v>586996.30000000005</v>
      </c>
      <c r="D30" s="43">
        <v>482687.3</v>
      </c>
      <c r="E30" s="14">
        <v>435521.9</v>
      </c>
      <c r="F30" s="14">
        <v>739087.7</v>
      </c>
      <c r="G30" s="43">
        <v>589957.1</v>
      </c>
      <c r="H30" s="60">
        <v>424622.8</v>
      </c>
      <c r="I30" s="44">
        <v>414552.9</v>
      </c>
      <c r="J30" s="43">
        <v>382589</v>
      </c>
      <c r="K30" s="43">
        <v>659449.80000000005</v>
      </c>
      <c r="L30" s="43">
        <v>116103</v>
      </c>
      <c r="M30" s="43">
        <v>162373.5</v>
      </c>
      <c r="N30" s="43">
        <v>68134.399999999994</v>
      </c>
      <c r="O30" s="43">
        <v>52932.9</v>
      </c>
      <c r="P30" s="44">
        <v>79637.899999999994</v>
      </c>
    </row>
    <row r="31" spans="1:16" ht="30" customHeight="1">
      <c r="A31" s="216" t="s">
        <v>232</v>
      </c>
      <c r="B31" s="67">
        <v>501693</v>
      </c>
      <c r="C31" s="60">
        <v>540558.9</v>
      </c>
      <c r="D31" s="43">
        <v>498562.6</v>
      </c>
      <c r="E31" s="14">
        <v>822891.2</v>
      </c>
      <c r="F31" s="14">
        <v>963781.9</v>
      </c>
      <c r="G31" s="43">
        <v>359989</v>
      </c>
      <c r="H31" s="60">
        <v>343609.8</v>
      </c>
      <c r="I31" s="44">
        <v>391553.2</v>
      </c>
      <c r="J31" s="43">
        <v>618551.9</v>
      </c>
      <c r="K31" s="43">
        <v>696480.7</v>
      </c>
      <c r="L31" s="43">
        <v>141704</v>
      </c>
      <c r="M31" s="43">
        <v>196949.1</v>
      </c>
      <c r="N31" s="43">
        <v>107009.4</v>
      </c>
      <c r="O31" s="43">
        <v>204339.3</v>
      </c>
      <c r="P31" s="44">
        <v>267301.2</v>
      </c>
    </row>
    <row r="32" spans="1:16">
      <c r="B32" s="42"/>
      <c r="C32" s="42"/>
      <c r="D32" s="42"/>
      <c r="E32" s="24"/>
      <c r="F32" s="24"/>
      <c r="G32" s="24"/>
      <c r="H32" s="24"/>
      <c r="I32" s="24"/>
      <c r="J32" s="24"/>
      <c r="K32" s="35"/>
    </row>
    <row r="33" spans="1:16" ht="28.5" customHeight="1">
      <c r="A33" s="271" t="s">
        <v>233</v>
      </c>
      <c r="B33" s="271"/>
      <c r="C33" s="271"/>
      <c r="D33" s="271"/>
      <c r="E33" s="271"/>
      <c r="F33" s="271"/>
      <c r="G33" s="271"/>
      <c r="H33" s="271"/>
      <c r="I33" s="271"/>
      <c r="J33" s="271"/>
      <c r="K33" s="271"/>
      <c r="L33" s="271"/>
      <c r="M33" s="271"/>
      <c r="N33" s="271"/>
      <c r="O33" s="271"/>
      <c r="P33" s="271"/>
    </row>
    <row r="34" spans="1:16">
      <c r="A34" s="45"/>
    </row>
  </sheetData>
  <mergeCells count="7">
    <mergeCell ref="A33:P33"/>
    <mergeCell ref="A2:P2"/>
    <mergeCell ref="L3:P3"/>
    <mergeCell ref="B5:P5"/>
    <mergeCell ref="A3:A5"/>
    <mergeCell ref="B3:F3"/>
    <mergeCell ref="G3:K3"/>
  </mergeCells>
  <printOptions horizontalCentered="1"/>
  <pageMargins left="0.39370078740157483" right="0.39370078740157483" top="0.59055118110236227" bottom="0.59055118110236227" header="0.31496062992125984" footer="0.31496062992125984"/>
  <pageSetup paperSize="9" scale="47" fitToHeight="0" orientation="landscape" r:id="rId1"/>
  <headerFooter>
    <oddFooter>&amp;C&amp;9Strona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59"/>
  <sheetViews>
    <sheetView zoomScale="90" zoomScaleNormal="90" workbookViewId="0">
      <pane xSplit="1" ySplit="4" topLeftCell="B5" activePane="bottomRight" state="frozen"/>
      <selection activeCell="A2" sqref="A2:P2"/>
      <selection pane="topRight" activeCell="A2" sqref="A2:P2"/>
      <selection pane="bottomLeft" activeCell="A2" sqref="A2:P2"/>
      <selection pane="bottomRight" activeCell="A2" sqref="A2:Q2"/>
    </sheetView>
  </sheetViews>
  <sheetFormatPr defaultColWidth="8.7109375" defaultRowHeight="12.75"/>
  <cols>
    <col min="1" max="1" width="60" style="72" customWidth="1"/>
    <col min="2" max="3" width="14.28515625" style="81" customWidth="1"/>
    <col min="4" max="6" width="14.28515625" style="72" customWidth="1"/>
    <col min="7" max="7" width="14.28515625" style="140" customWidth="1"/>
    <col min="8" max="17" width="14.28515625" style="72" customWidth="1"/>
    <col min="18" max="16384" width="8.7109375" style="72"/>
  </cols>
  <sheetData>
    <row r="2" spans="1:17" ht="30" customHeight="1">
      <c r="A2" s="305" t="s">
        <v>288</v>
      </c>
      <c r="B2" s="305"/>
      <c r="C2" s="305"/>
      <c r="D2" s="305"/>
      <c r="E2" s="305"/>
      <c r="F2" s="305"/>
      <c r="G2" s="305"/>
      <c r="H2" s="305"/>
      <c r="I2" s="305"/>
      <c r="J2" s="305"/>
      <c r="K2" s="305"/>
      <c r="L2" s="305"/>
      <c r="M2" s="305"/>
      <c r="N2" s="305"/>
      <c r="O2" s="305"/>
      <c r="P2" s="305"/>
      <c r="Q2" s="305"/>
    </row>
    <row r="3" spans="1:17" ht="33" customHeight="1" thickBot="1">
      <c r="A3" s="218" t="s">
        <v>234</v>
      </c>
      <c r="B3" s="200" t="s">
        <v>35</v>
      </c>
      <c r="C3" s="197" t="s">
        <v>14</v>
      </c>
      <c r="D3" s="200" t="s">
        <v>15</v>
      </c>
      <c r="E3" s="200" t="s">
        <v>16</v>
      </c>
      <c r="F3" s="200" t="s">
        <v>17</v>
      </c>
      <c r="G3" s="203" t="s">
        <v>23</v>
      </c>
      <c r="H3" s="204" t="s">
        <v>24</v>
      </c>
      <c r="I3" s="199" t="s">
        <v>4</v>
      </c>
      <c r="J3" s="199" t="s">
        <v>5</v>
      </c>
      <c r="K3" s="199" t="s">
        <v>6</v>
      </c>
      <c r="L3" s="195" t="s">
        <v>7</v>
      </c>
      <c r="M3" s="195" t="s">
        <v>8</v>
      </c>
      <c r="N3" s="199" t="s">
        <v>9</v>
      </c>
      <c r="O3" s="199" t="s">
        <v>10</v>
      </c>
      <c r="P3" s="201" t="s">
        <v>11</v>
      </c>
      <c r="Q3" s="198" t="s">
        <v>18</v>
      </c>
    </row>
    <row r="4" spans="1:17" ht="60" customHeight="1">
      <c r="A4" s="166"/>
      <c r="B4" s="306" t="s">
        <v>257</v>
      </c>
      <c r="C4" s="307"/>
      <c r="D4" s="307"/>
      <c r="E4" s="307"/>
      <c r="F4" s="307"/>
      <c r="G4" s="307"/>
      <c r="H4" s="307"/>
      <c r="I4" s="307"/>
      <c r="J4" s="307"/>
      <c r="K4" s="307"/>
      <c r="L4" s="307"/>
      <c r="M4" s="307"/>
      <c r="N4" s="307"/>
      <c r="O4" s="307"/>
      <c r="P4" s="307"/>
      <c r="Q4" s="307"/>
    </row>
    <row r="5" spans="1:17" s="74" customFormat="1" ht="30" customHeight="1">
      <c r="A5" s="194" t="s">
        <v>267</v>
      </c>
      <c r="B5" s="3">
        <v>7891210.5</v>
      </c>
      <c r="C5" s="3">
        <v>5099159.5999999996</v>
      </c>
      <c r="D5" s="3">
        <v>3570707.1</v>
      </c>
      <c r="E5" s="3">
        <v>1361490.1</v>
      </c>
      <c r="F5" s="3">
        <v>4468156.8</v>
      </c>
      <c r="G5" s="3">
        <v>11092252.300000001</v>
      </c>
      <c r="H5" s="3">
        <v>23679971</v>
      </c>
      <c r="I5" s="3">
        <v>2567843.7999999998</v>
      </c>
      <c r="J5" s="3">
        <v>4198546.3</v>
      </c>
      <c r="K5" s="3">
        <v>2490415.2000000002</v>
      </c>
      <c r="L5" s="3">
        <v>7782453.2999999998</v>
      </c>
      <c r="M5" s="3">
        <v>11792256.800000001</v>
      </c>
      <c r="N5" s="3">
        <v>2561737.7999999998</v>
      </c>
      <c r="O5" s="3">
        <v>2563887.6</v>
      </c>
      <c r="P5" s="3">
        <v>11163462.9</v>
      </c>
      <c r="Q5" s="7">
        <v>3152908.3</v>
      </c>
    </row>
    <row r="6" spans="1:17" s="74" customFormat="1" ht="30" customHeight="1">
      <c r="A6" s="212" t="s">
        <v>268</v>
      </c>
      <c r="B6" s="3">
        <v>2732262.6</v>
      </c>
      <c r="C6" s="3">
        <v>2714538.4</v>
      </c>
      <c r="D6" s="3">
        <v>1717135</v>
      </c>
      <c r="E6" s="3">
        <v>715228</v>
      </c>
      <c r="F6" s="3">
        <v>2458288.2000000002</v>
      </c>
      <c r="G6" s="3">
        <v>5837306.7000000002</v>
      </c>
      <c r="H6" s="3">
        <v>11663257.800000001</v>
      </c>
      <c r="I6" s="3">
        <v>1728274.2</v>
      </c>
      <c r="J6" s="3">
        <v>2257182.4</v>
      </c>
      <c r="K6" s="3">
        <v>1285425.8</v>
      </c>
      <c r="L6" s="3">
        <v>4254288.8</v>
      </c>
      <c r="M6" s="3">
        <v>5066355.2</v>
      </c>
      <c r="N6" s="3">
        <v>1274301.1000000001</v>
      </c>
      <c r="O6" s="3">
        <v>1528325</v>
      </c>
      <c r="P6" s="3">
        <v>5634268</v>
      </c>
      <c r="Q6" s="7">
        <v>1382720.8</v>
      </c>
    </row>
    <row r="7" spans="1:17" s="74" customFormat="1" ht="30" customHeight="1">
      <c r="A7" s="210" t="s">
        <v>269</v>
      </c>
      <c r="B7" s="3">
        <v>1139490.6000000001</v>
      </c>
      <c r="C7" s="3">
        <v>935252.7</v>
      </c>
      <c r="D7" s="3">
        <v>660775.30000000005</v>
      </c>
      <c r="E7" s="3">
        <v>225840.5</v>
      </c>
      <c r="F7" s="3">
        <v>594383.4</v>
      </c>
      <c r="G7" s="3">
        <v>2085489.8</v>
      </c>
      <c r="H7" s="3">
        <v>3437793.8</v>
      </c>
      <c r="I7" s="3">
        <v>341436.7</v>
      </c>
      <c r="J7" s="3">
        <v>666567.5</v>
      </c>
      <c r="K7" s="3">
        <v>677327.9</v>
      </c>
      <c r="L7" s="3">
        <v>2053451.1</v>
      </c>
      <c r="M7" s="3">
        <v>1474711.3</v>
      </c>
      <c r="N7" s="3">
        <v>420412.7</v>
      </c>
      <c r="O7" s="3">
        <v>603170.1</v>
      </c>
      <c r="P7" s="3">
        <v>1474634</v>
      </c>
      <c r="Q7" s="7">
        <v>614267.19999999995</v>
      </c>
    </row>
    <row r="8" spans="1:17" s="76" customFormat="1" ht="30" customHeight="1">
      <c r="A8" s="211" t="s">
        <v>212</v>
      </c>
      <c r="B8" s="14">
        <v>148040.29999999999</v>
      </c>
      <c r="C8" s="14">
        <v>122151.3</v>
      </c>
      <c r="D8" s="14">
        <v>94208.5</v>
      </c>
      <c r="E8" s="14">
        <v>52342.2</v>
      </c>
      <c r="F8" s="14">
        <v>119833.8</v>
      </c>
      <c r="G8" s="14">
        <v>276085.40000000002</v>
      </c>
      <c r="H8" s="14">
        <v>220861.4</v>
      </c>
      <c r="I8" s="14">
        <v>86303.8</v>
      </c>
      <c r="J8" s="14">
        <v>146104.20000000001</v>
      </c>
      <c r="K8" s="14">
        <v>98591.6</v>
      </c>
      <c r="L8" s="14">
        <v>276584.8</v>
      </c>
      <c r="M8" s="14">
        <v>367016.7</v>
      </c>
      <c r="N8" s="14">
        <v>28626.1</v>
      </c>
      <c r="O8" s="14">
        <v>66299.7</v>
      </c>
      <c r="P8" s="14">
        <v>250639.2</v>
      </c>
      <c r="Q8" s="20">
        <v>91039.9</v>
      </c>
    </row>
    <row r="9" spans="1:17" s="76" customFormat="1" ht="30" customHeight="1">
      <c r="A9" s="211" t="s">
        <v>235</v>
      </c>
      <c r="B9" s="14">
        <v>870329.4</v>
      </c>
      <c r="C9" s="14">
        <v>714063.6</v>
      </c>
      <c r="D9" s="14">
        <v>499643.8</v>
      </c>
      <c r="E9" s="14">
        <v>147676</v>
      </c>
      <c r="F9" s="14">
        <v>429210.7</v>
      </c>
      <c r="G9" s="14">
        <v>1523268</v>
      </c>
      <c r="H9" s="14">
        <v>3077643.4</v>
      </c>
      <c r="I9" s="14">
        <v>200951.6</v>
      </c>
      <c r="J9" s="14">
        <v>481014.5</v>
      </c>
      <c r="K9" s="14">
        <v>573594.80000000005</v>
      </c>
      <c r="L9" s="14">
        <v>1668954.9</v>
      </c>
      <c r="M9" s="14">
        <v>1020968.3</v>
      </c>
      <c r="N9" s="14">
        <v>372454.9</v>
      </c>
      <c r="O9" s="14">
        <v>516920.4</v>
      </c>
      <c r="P9" s="14">
        <v>1109398.8999999999</v>
      </c>
      <c r="Q9" s="20">
        <v>458451</v>
      </c>
    </row>
    <row r="10" spans="1:17" s="77" customFormat="1" ht="30" customHeight="1">
      <c r="A10" s="211" t="s">
        <v>214</v>
      </c>
      <c r="B10" s="14">
        <v>121120.9</v>
      </c>
      <c r="C10" s="14">
        <v>99037.8</v>
      </c>
      <c r="D10" s="14">
        <v>66923</v>
      </c>
      <c r="E10" s="14">
        <v>25822.3</v>
      </c>
      <c r="F10" s="14">
        <v>45338.9</v>
      </c>
      <c r="G10" s="14">
        <v>286136.40000000002</v>
      </c>
      <c r="H10" s="14">
        <v>139289</v>
      </c>
      <c r="I10" s="14">
        <v>54181.3</v>
      </c>
      <c r="J10" s="14">
        <v>39448.800000000003</v>
      </c>
      <c r="K10" s="14">
        <v>5141.5</v>
      </c>
      <c r="L10" s="14">
        <v>107911.4</v>
      </c>
      <c r="M10" s="14">
        <v>86726.3</v>
      </c>
      <c r="N10" s="14">
        <v>19331.7</v>
      </c>
      <c r="O10" s="14">
        <v>19950</v>
      </c>
      <c r="P10" s="14">
        <v>114595.9</v>
      </c>
      <c r="Q10" s="20">
        <v>64776.3</v>
      </c>
    </row>
    <row r="11" spans="1:17" s="74" customFormat="1" ht="30" customHeight="1">
      <c r="A11" s="210" t="s">
        <v>270</v>
      </c>
      <c r="B11" s="3">
        <v>1592772</v>
      </c>
      <c r="C11" s="3">
        <v>1779285.7</v>
      </c>
      <c r="D11" s="3">
        <v>1056359.7</v>
      </c>
      <c r="E11" s="3">
        <v>489387.5</v>
      </c>
      <c r="F11" s="3">
        <v>1863904.8</v>
      </c>
      <c r="G11" s="3">
        <v>3751816.9</v>
      </c>
      <c r="H11" s="3">
        <v>8225464</v>
      </c>
      <c r="I11" s="3">
        <v>1386837.5</v>
      </c>
      <c r="J11" s="3">
        <v>1590614.9</v>
      </c>
      <c r="K11" s="3">
        <v>608097.9</v>
      </c>
      <c r="L11" s="3">
        <v>2200837.7000000002</v>
      </c>
      <c r="M11" s="3">
        <v>3591643.9</v>
      </c>
      <c r="N11" s="3">
        <v>853888.4</v>
      </c>
      <c r="O11" s="3">
        <v>925154.9</v>
      </c>
      <c r="P11" s="3">
        <v>4159634</v>
      </c>
      <c r="Q11" s="7">
        <v>768453.6</v>
      </c>
    </row>
    <row r="12" spans="1:17" s="74" customFormat="1" ht="30" customHeight="1">
      <c r="A12" s="211" t="s">
        <v>215</v>
      </c>
      <c r="B12" s="14">
        <v>63020.2</v>
      </c>
      <c r="C12" s="14" t="s">
        <v>99</v>
      </c>
      <c r="D12" s="14">
        <v>33017.599999999999</v>
      </c>
      <c r="E12" s="14">
        <v>3496.3</v>
      </c>
      <c r="F12" s="14">
        <v>16400.3</v>
      </c>
      <c r="G12" s="14">
        <v>229471.9</v>
      </c>
      <c r="H12" s="14">
        <v>274434.59999999998</v>
      </c>
      <c r="I12" s="14">
        <v>5504.5</v>
      </c>
      <c r="J12" s="14">
        <v>53855.9</v>
      </c>
      <c r="K12" s="14">
        <v>13036.8</v>
      </c>
      <c r="L12" s="14">
        <v>112247</v>
      </c>
      <c r="M12" s="14">
        <v>64185.2</v>
      </c>
      <c r="N12" s="14">
        <v>6335.9</v>
      </c>
      <c r="O12" s="14" t="s">
        <v>99</v>
      </c>
      <c r="P12" s="14">
        <v>101476.2</v>
      </c>
      <c r="Q12" s="20">
        <v>90002.4</v>
      </c>
    </row>
    <row r="13" spans="1:17" s="76" customFormat="1" ht="30" customHeight="1">
      <c r="A13" s="211" t="s">
        <v>216</v>
      </c>
      <c r="B13" s="14">
        <v>150604.6</v>
      </c>
      <c r="C13" s="14">
        <v>90705.3</v>
      </c>
      <c r="D13" s="14">
        <v>119134.6</v>
      </c>
      <c r="E13" s="14">
        <v>32460.7</v>
      </c>
      <c r="F13" s="14">
        <v>108499.6</v>
      </c>
      <c r="G13" s="14">
        <v>613744.80000000005</v>
      </c>
      <c r="H13" s="14">
        <v>2111048.4</v>
      </c>
      <c r="I13" s="14">
        <v>36693.199999999997</v>
      </c>
      <c r="J13" s="14">
        <v>159465.20000000001</v>
      </c>
      <c r="K13" s="14">
        <v>60086.9</v>
      </c>
      <c r="L13" s="14">
        <v>202626.7</v>
      </c>
      <c r="M13" s="14">
        <v>283086.90000000002</v>
      </c>
      <c r="N13" s="14">
        <v>150249.20000000001</v>
      </c>
      <c r="O13" s="14">
        <v>40794.199999999997</v>
      </c>
      <c r="P13" s="14">
        <v>211246.9</v>
      </c>
      <c r="Q13" s="20">
        <v>30365.8</v>
      </c>
    </row>
    <row r="14" spans="1:17" s="76" customFormat="1" ht="30" customHeight="1">
      <c r="A14" s="211" t="s">
        <v>217</v>
      </c>
      <c r="B14" s="14">
        <v>447651.7</v>
      </c>
      <c r="C14" s="14">
        <v>237542</v>
      </c>
      <c r="D14" s="14">
        <v>220175.4</v>
      </c>
      <c r="E14" s="14" t="s">
        <v>99</v>
      </c>
      <c r="F14" s="14">
        <v>305319.2</v>
      </c>
      <c r="G14" s="14">
        <v>1038075.6</v>
      </c>
      <c r="H14" s="14">
        <v>1490369.3</v>
      </c>
      <c r="I14" s="14">
        <v>653391.9</v>
      </c>
      <c r="J14" s="14">
        <v>376670.8</v>
      </c>
      <c r="K14" s="14">
        <v>59583</v>
      </c>
      <c r="L14" s="14">
        <v>506453.8</v>
      </c>
      <c r="M14" s="14">
        <v>845684.2</v>
      </c>
      <c r="N14" s="14">
        <v>136978.20000000001</v>
      </c>
      <c r="O14" s="14">
        <v>242236.2</v>
      </c>
      <c r="P14" s="14">
        <v>594353.1</v>
      </c>
      <c r="Q14" s="20" t="s">
        <v>99</v>
      </c>
    </row>
    <row r="15" spans="1:17" s="154" customFormat="1" ht="30" customHeight="1">
      <c r="A15" s="213" t="s">
        <v>236</v>
      </c>
      <c r="B15" s="14">
        <v>20454.599999999999</v>
      </c>
      <c r="C15" s="14" t="s">
        <v>99</v>
      </c>
      <c r="D15" s="14">
        <v>18964.400000000001</v>
      </c>
      <c r="E15" s="14" t="s">
        <v>99</v>
      </c>
      <c r="F15" s="14">
        <v>21069.200000000001</v>
      </c>
      <c r="G15" s="14">
        <v>29252.9</v>
      </c>
      <c r="H15" s="14">
        <v>123892</v>
      </c>
      <c r="I15" s="14">
        <v>10748.5</v>
      </c>
      <c r="J15" s="14">
        <v>12496.8</v>
      </c>
      <c r="K15" s="14">
        <v>12926</v>
      </c>
      <c r="L15" s="14">
        <v>29382.1</v>
      </c>
      <c r="M15" s="14">
        <v>40215.199999999997</v>
      </c>
      <c r="N15" s="14">
        <v>2994.7</v>
      </c>
      <c r="O15" s="14" t="s">
        <v>99</v>
      </c>
      <c r="P15" s="14">
        <v>19428.599999999999</v>
      </c>
      <c r="Q15" s="20" t="s">
        <v>99</v>
      </c>
    </row>
    <row r="16" spans="1:17" s="76" customFormat="1" ht="30" customHeight="1">
      <c r="A16" s="211" t="s">
        <v>219</v>
      </c>
      <c r="B16" s="14">
        <v>422650.4</v>
      </c>
      <c r="C16" s="14">
        <v>746070.5</v>
      </c>
      <c r="D16" s="14">
        <v>404044.4</v>
      </c>
      <c r="E16" s="14">
        <v>199381.6</v>
      </c>
      <c r="F16" s="14">
        <v>1043407</v>
      </c>
      <c r="G16" s="14">
        <v>997052.3</v>
      </c>
      <c r="H16" s="14">
        <v>2352625</v>
      </c>
      <c r="I16" s="14">
        <v>566349.4</v>
      </c>
      <c r="J16" s="14">
        <v>649170</v>
      </c>
      <c r="K16" s="14">
        <v>229996</v>
      </c>
      <c r="L16" s="14">
        <v>751062.3</v>
      </c>
      <c r="M16" s="14">
        <v>1546039.8</v>
      </c>
      <c r="N16" s="14">
        <v>309096</v>
      </c>
      <c r="O16" s="14">
        <v>316273.8</v>
      </c>
      <c r="P16" s="14">
        <v>2453571</v>
      </c>
      <c r="Q16" s="20">
        <v>351116.79999999999</v>
      </c>
    </row>
    <row r="17" spans="1:17" s="76" customFormat="1" ht="68.25" customHeight="1">
      <c r="A17" s="211" t="s">
        <v>239</v>
      </c>
      <c r="B17" s="14">
        <v>431394.3</v>
      </c>
      <c r="C17" s="14">
        <v>490203.7</v>
      </c>
      <c r="D17" s="14">
        <v>224434.1</v>
      </c>
      <c r="E17" s="14">
        <v>93489</v>
      </c>
      <c r="F17" s="14">
        <v>306700.2</v>
      </c>
      <c r="G17" s="14">
        <v>682929.9</v>
      </c>
      <c r="H17" s="14">
        <v>1507405.9</v>
      </c>
      <c r="I17" s="14">
        <v>97137.9</v>
      </c>
      <c r="J17" s="14">
        <v>307582.59999999998</v>
      </c>
      <c r="K17" s="14">
        <v>189934.3</v>
      </c>
      <c r="L17" s="14">
        <v>531134.1</v>
      </c>
      <c r="M17" s="14">
        <v>757677.2</v>
      </c>
      <c r="N17" s="14">
        <v>223053.3</v>
      </c>
      <c r="O17" s="14">
        <v>195378.4</v>
      </c>
      <c r="P17" s="14">
        <v>587311.19999999995</v>
      </c>
      <c r="Q17" s="20">
        <v>111817.8</v>
      </c>
    </row>
    <row r="18" spans="1:17" s="76" customFormat="1" ht="30" customHeight="1">
      <c r="A18" s="211" t="s">
        <v>221</v>
      </c>
      <c r="B18" s="14">
        <v>56996.2</v>
      </c>
      <c r="C18" s="14">
        <v>176818.8</v>
      </c>
      <c r="D18" s="14">
        <v>36589.199999999997</v>
      </c>
      <c r="E18" s="14">
        <v>48494.6</v>
      </c>
      <c r="F18" s="14">
        <v>62509.3</v>
      </c>
      <c r="G18" s="14">
        <v>161289.5</v>
      </c>
      <c r="H18" s="14">
        <v>365688.8</v>
      </c>
      <c r="I18" s="14">
        <v>17012.099999999999</v>
      </c>
      <c r="J18" s="14">
        <v>31373.599999999999</v>
      </c>
      <c r="K18" s="14">
        <v>42534.9</v>
      </c>
      <c r="L18" s="14">
        <v>67931.7</v>
      </c>
      <c r="M18" s="14">
        <v>54755.4</v>
      </c>
      <c r="N18" s="14">
        <v>25181.1</v>
      </c>
      <c r="O18" s="14">
        <v>97908.4</v>
      </c>
      <c r="P18" s="14">
        <v>192247</v>
      </c>
      <c r="Q18" s="20">
        <v>116343.3</v>
      </c>
    </row>
    <row r="19" spans="1:17" s="74" customFormat="1" ht="30" customHeight="1">
      <c r="A19" s="212" t="s">
        <v>271</v>
      </c>
      <c r="B19" s="3">
        <v>5158947.9000000004</v>
      </c>
      <c r="C19" s="3">
        <v>2384621.2000000002</v>
      </c>
      <c r="D19" s="3">
        <v>1853572.1</v>
      </c>
      <c r="E19" s="3">
        <v>646262.1</v>
      </c>
      <c r="F19" s="3">
        <v>2009868.6</v>
      </c>
      <c r="G19" s="3">
        <v>5254945.5999999996</v>
      </c>
      <c r="H19" s="3">
        <v>12016713.199999999</v>
      </c>
      <c r="I19" s="3">
        <v>839569.6</v>
      </c>
      <c r="J19" s="3">
        <v>1941363.9</v>
      </c>
      <c r="K19" s="3">
        <v>1204989.3999999999</v>
      </c>
      <c r="L19" s="3">
        <v>3528164.5</v>
      </c>
      <c r="M19" s="3">
        <v>6725901.5999999996</v>
      </c>
      <c r="N19" s="3">
        <v>1287436.7</v>
      </c>
      <c r="O19" s="3">
        <v>1035562.6</v>
      </c>
      <c r="P19" s="3">
        <v>5529194.9000000004</v>
      </c>
      <c r="Q19" s="7">
        <v>1770187.5</v>
      </c>
    </row>
    <row r="20" spans="1:17" s="74" customFormat="1" ht="30" customHeight="1">
      <c r="A20" s="211" t="s">
        <v>222</v>
      </c>
      <c r="B20" s="14" t="s">
        <v>99</v>
      </c>
      <c r="C20" s="14" t="s">
        <v>99</v>
      </c>
      <c r="D20" s="14">
        <v>963642.5</v>
      </c>
      <c r="E20" s="14">
        <v>260755.1</v>
      </c>
      <c r="F20" s="14">
        <v>689040.1</v>
      </c>
      <c r="G20" s="14">
        <v>1844713.9</v>
      </c>
      <c r="H20" s="14">
        <v>6155424.9000000004</v>
      </c>
      <c r="I20" s="14" t="s">
        <v>99</v>
      </c>
      <c r="J20" s="14">
        <v>760086</v>
      </c>
      <c r="K20" s="14">
        <v>762746.4</v>
      </c>
      <c r="L20" s="14">
        <v>974945.5</v>
      </c>
      <c r="M20" s="14">
        <v>1858796.3</v>
      </c>
      <c r="N20" s="14">
        <v>672831.3</v>
      </c>
      <c r="O20" s="14" t="s">
        <v>99</v>
      </c>
      <c r="P20" s="14">
        <v>1807677.7</v>
      </c>
      <c r="Q20" s="20">
        <v>876767</v>
      </c>
    </row>
    <row r="21" spans="1:17" s="154" customFormat="1" ht="30" customHeight="1">
      <c r="A21" s="213" t="s">
        <v>223</v>
      </c>
      <c r="B21" s="14" t="s">
        <v>99</v>
      </c>
      <c r="C21" s="14" t="s">
        <v>99</v>
      </c>
      <c r="D21" s="14" t="s">
        <v>99</v>
      </c>
      <c r="E21" s="14">
        <v>54230.3</v>
      </c>
      <c r="F21" s="14" t="s">
        <v>99</v>
      </c>
      <c r="G21" s="14">
        <v>1009877.3</v>
      </c>
      <c r="H21" s="14">
        <v>1815786</v>
      </c>
      <c r="I21" s="14" t="s">
        <v>99</v>
      </c>
      <c r="J21" s="14" t="s">
        <v>99</v>
      </c>
      <c r="K21" s="14" t="s">
        <v>99</v>
      </c>
      <c r="L21" s="14">
        <v>581534.4</v>
      </c>
      <c r="M21" s="14">
        <v>409916</v>
      </c>
      <c r="N21" s="14" t="s">
        <v>99</v>
      </c>
      <c r="O21" s="14" t="s">
        <v>99</v>
      </c>
      <c r="P21" s="14">
        <v>1550748.3</v>
      </c>
      <c r="Q21" s="20">
        <v>76766.8</v>
      </c>
    </row>
    <row r="22" spans="1:17" s="76" customFormat="1" ht="30" customHeight="1">
      <c r="A22" s="213" t="s">
        <v>224</v>
      </c>
      <c r="B22" s="14" t="s">
        <v>99</v>
      </c>
      <c r="C22" s="14" t="s">
        <v>99</v>
      </c>
      <c r="D22" s="14" t="s">
        <v>101</v>
      </c>
      <c r="E22" s="14" t="s">
        <v>101</v>
      </c>
      <c r="F22" s="14" t="s">
        <v>99</v>
      </c>
      <c r="G22" s="14" t="s">
        <v>99</v>
      </c>
      <c r="H22" s="14">
        <v>80835.8</v>
      </c>
      <c r="I22" s="14" t="s">
        <v>99</v>
      </c>
      <c r="J22" s="14" t="s">
        <v>99</v>
      </c>
      <c r="K22" s="14" t="s">
        <v>99</v>
      </c>
      <c r="L22" s="14" t="s">
        <v>99</v>
      </c>
      <c r="M22" s="14" t="s">
        <v>99</v>
      </c>
      <c r="N22" s="14" t="s">
        <v>99</v>
      </c>
      <c r="O22" s="14" t="s">
        <v>101</v>
      </c>
      <c r="P22" s="14">
        <v>185.9</v>
      </c>
      <c r="Q22" s="20" t="s">
        <v>99</v>
      </c>
    </row>
    <row r="23" spans="1:17" s="76" customFormat="1" ht="42.75" customHeight="1">
      <c r="A23" s="213" t="s">
        <v>240</v>
      </c>
      <c r="B23" s="14">
        <v>136479.9</v>
      </c>
      <c r="C23" s="14">
        <v>28406.2</v>
      </c>
      <c r="D23" s="14" t="s">
        <v>99</v>
      </c>
      <c r="E23" s="14" t="s">
        <v>99</v>
      </c>
      <c r="F23" s="14">
        <v>145106</v>
      </c>
      <c r="G23" s="14">
        <v>306950</v>
      </c>
      <c r="H23" s="14">
        <v>559112.30000000005</v>
      </c>
      <c r="I23" s="14">
        <v>68182.8</v>
      </c>
      <c r="J23" s="14" t="s">
        <v>99</v>
      </c>
      <c r="K23" s="14" t="s">
        <v>99</v>
      </c>
      <c r="L23" s="14">
        <v>160378.4</v>
      </c>
      <c r="M23" s="14">
        <v>1005082.5</v>
      </c>
      <c r="N23" s="14">
        <v>149740.5</v>
      </c>
      <c r="O23" s="14">
        <v>6118.7</v>
      </c>
      <c r="P23" s="14">
        <v>96828.3</v>
      </c>
      <c r="Q23" s="20" t="s">
        <v>99</v>
      </c>
    </row>
    <row r="24" spans="1:17" s="76" customFormat="1" ht="30" customHeight="1">
      <c r="A24" s="213" t="s">
        <v>226</v>
      </c>
      <c r="B24" s="14">
        <v>41716.400000000001</v>
      </c>
      <c r="C24" s="14" t="s">
        <v>99</v>
      </c>
      <c r="D24" s="14">
        <v>15285.4</v>
      </c>
      <c r="E24" s="14" t="s">
        <v>99</v>
      </c>
      <c r="F24" s="14" t="s">
        <v>99</v>
      </c>
      <c r="G24" s="14" t="s">
        <v>99</v>
      </c>
      <c r="H24" s="14">
        <v>266541.8</v>
      </c>
      <c r="I24" s="14">
        <v>29937</v>
      </c>
      <c r="J24" s="14" t="s">
        <v>99</v>
      </c>
      <c r="K24" s="14" t="s">
        <v>99</v>
      </c>
      <c r="L24" s="14" t="s">
        <v>99</v>
      </c>
      <c r="M24" s="14" t="s">
        <v>99</v>
      </c>
      <c r="N24" s="14" t="s">
        <v>99</v>
      </c>
      <c r="O24" s="14">
        <v>6555.6</v>
      </c>
      <c r="P24" s="14">
        <v>11785.5</v>
      </c>
      <c r="Q24" s="20" t="s">
        <v>99</v>
      </c>
    </row>
    <row r="25" spans="1:17" s="76" customFormat="1" ht="54" customHeight="1">
      <c r="A25" s="214" t="s">
        <v>241</v>
      </c>
      <c r="B25" s="14">
        <v>426164.8</v>
      </c>
      <c r="C25" s="14">
        <v>320258.40000000002</v>
      </c>
      <c r="D25" s="14">
        <v>367191.7</v>
      </c>
      <c r="E25" s="14">
        <v>113321</v>
      </c>
      <c r="F25" s="14">
        <v>277320.5</v>
      </c>
      <c r="G25" s="14">
        <v>613138.4</v>
      </c>
      <c r="H25" s="14">
        <v>869698.8</v>
      </c>
      <c r="I25" s="14">
        <v>83777.600000000006</v>
      </c>
      <c r="J25" s="14">
        <v>354729.1</v>
      </c>
      <c r="K25" s="14">
        <v>182634.9</v>
      </c>
      <c r="L25" s="14">
        <v>982568.3</v>
      </c>
      <c r="M25" s="14">
        <v>676073.1</v>
      </c>
      <c r="N25" s="14">
        <v>180053.3</v>
      </c>
      <c r="O25" s="14">
        <v>341638.3</v>
      </c>
      <c r="P25" s="14">
        <v>482645.8</v>
      </c>
      <c r="Q25" s="20">
        <v>224684.79999999999</v>
      </c>
    </row>
    <row r="26" spans="1:17" s="76" customFormat="1" ht="30" customHeight="1">
      <c r="A26" s="214" t="s">
        <v>228</v>
      </c>
      <c r="B26" s="14">
        <v>509016.9</v>
      </c>
      <c r="C26" s="14">
        <v>469822.1</v>
      </c>
      <c r="D26" s="14">
        <v>200753</v>
      </c>
      <c r="E26" s="14">
        <v>127719.3</v>
      </c>
      <c r="F26" s="14">
        <v>407559.4</v>
      </c>
      <c r="G26" s="14">
        <v>896336.7</v>
      </c>
      <c r="H26" s="14">
        <v>984029.1</v>
      </c>
      <c r="I26" s="14">
        <v>103947.4</v>
      </c>
      <c r="J26" s="14">
        <v>549350.69999999995</v>
      </c>
      <c r="K26" s="14">
        <v>183610.7</v>
      </c>
      <c r="L26" s="14">
        <v>545222.80000000005</v>
      </c>
      <c r="M26" s="14">
        <v>716119.7</v>
      </c>
      <c r="N26" s="14">
        <v>138627.20000000001</v>
      </c>
      <c r="O26" s="14">
        <v>247276.2</v>
      </c>
      <c r="P26" s="14">
        <v>1147985.7</v>
      </c>
      <c r="Q26" s="20">
        <v>385821.1</v>
      </c>
    </row>
    <row r="27" spans="1:17" s="76" customFormat="1" ht="30" customHeight="1">
      <c r="A27" s="78" t="s">
        <v>229</v>
      </c>
      <c r="B27" s="14">
        <v>64952.9</v>
      </c>
      <c r="C27" s="14">
        <v>120905.2</v>
      </c>
      <c r="D27" s="14" t="s">
        <v>99</v>
      </c>
      <c r="E27" s="14">
        <v>21299.4</v>
      </c>
      <c r="F27" s="14">
        <v>85252.3</v>
      </c>
      <c r="G27" s="14">
        <v>200451.8</v>
      </c>
      <c r="H27" s="14">
        <v>49369.599999999999</v>
      </c>
      <c r="I27" s="14">
        <v>28423.8</v>
      </c>
      <c r="J27" s="14">
        <v>279022.09999999998</v>
      </c>
      <c r="K27" s="14" t="s">
        <v>99</v>
      </c>
      <c r="L27" s="14">
        <v>135583.1</v>
      </c>
      <c r="M27" s="14">
        <v>72627.600000000006</v>
      </c>
      <c r="N27" s="14">
        <v>52380.2</v>
      </c>
      <c r="O27" s="14">
        <v>35390.400000000001</v>
      </c>
      <c r="P27" s="14">
        <v>231131.8</v>
      </c>
      <c r="Q27" s="20">
        <v>47514.400000000001</v>
      </c>
    </row>
    <row r="28" spans="1:17" s="76" customFormat="1" ht="30" customHeight="1">
      <c r="A28" s="214" t="s">
        <v>230</v>
      </c>
      <c r="B28" s="14" t="s">
        <v>99</v>
      </c>
      <c r="C28" s="14">
        <v>149053.20000000001</v>
      </c>
      <c r="D28" s="14">
        <v>92159</v>
      </c>
      <c r="E28" s="14">
        <v>44964.7</v>
      </c>
      <c r="F28" s="14" t="s">
        <v>99</v>
      </c>
      <c r="G28" s="14">
        <v>390485.6</v>
      </c>
      <c r="H28" s="14">
        <v>989592.8</v>
      </c>
      <c r="I28" s="14" t="s">
        <v>99</v>
      </c>
      <c r="J28" s="14">
        <v>75769.7</v>
      </c>
      <c r="K28" s="14" t="s">
        <v>101</v>
      </c>
      <c r="L28" s="14">
        <v>62812.4</v>
      </c>
      <c r="M28" s="14">
        <v>1766374.1</v>
      </c>
      <c r="N28" s="14" t="s">
        <v>99</v>
      </c>
      <c r="O28" s="14">
        <v>1547.4</v>
      </c>
      <c r="P28" s="14">
        <v>292580.90000000002</v>
      </c>
      <c r="Q28" s="20">
        <v>15550</v>
      </c>
    </row>
    <row r="29" spans="1:17" s="76" customFormat="1" ht="30" customHeight="1">
      <c r="A29" s="214" t="s">
        <v>237</v>
      </c>
      <c r="B29" s="14">
        <v>45879</v>
      </c>
      <c r="C29" s="14">
        <v>27236.5</v>
      </c>
      <c r="D29" s="14" t="s">
        <v>99</v>
      </c>
      <c r="E29" s="14">
        <v>7924.7</v>
      </c>
      <c r="F29" s="14" t="s">
        <v>99</v>
      </c>
      <c r="G29" s="14">
        <v>76378</v>
      </c>
      <c r="H29" s="14">
        <v>140069</v>
      </c>
      <c r="I29" s="14">
        <v>19932</v>
      </c>
      <c r="J29" s="14">
        <v>51853.8</v>
      </c>
      <c r="K29" s="14" t="s">
        <v>99</v>
      </c>
      <c r="L29" s="14">
        <v>41881.4</v>
      </c>
      <c r="M29" s="14">
        <v>181498.8</v>
      </c>
      <c r="N29" s="14" t="s">
        <v>99</v>
      </c>
      <c r="O29" s="14">
        <v>26552.2</v>
      </c>
      <c r="P29" s="14">
        <v>36756.400000000001</v>
      </c>
      <c r="Q29" s="20">
        <v>24859.599999999999</v>
      </c>
    </row>
    <row r="30" spans="1:17" s="76" customFormat="1" ht="30" customHeight="1">
      <c r="A30" s="214" t="s">
        <v>238</v>
      </c>
      <c r="B30" s="14" t="s">
        <v>99</v>
      </c>
      <c r="C30" s="14">
        <v>92927.4</v>
      </c>
      <c r="D30" s="14" t="s">
        <v>99</v>
      </c>
      <c r="E30" s="14">
        <v>9583.1</v>
      </c>
      <c r="F30" s="14">
        <v>24880.5</v>
      </c>
      <c r="G30" s="14">
        <v>25614.400000000001</v>
      </c>
      <c r="H30" s="14">
        <v>155622.70000000001</v>
      </c>
      <c r="I30" s="14" t="s">
        <v>99</v>
      </c>
      <c r="J30" s="14">
        <v>7954.4</v>
      </c>
      <c r="K30" s="14" t="s">
        <v>99</v>
      </c>
      <c r="L30" s="14">
        <v>150845.6</v>
      </c>
      <c r="M30" s="14">
        <v>37958.1</v>
      </c>
      <c r="N30" s="14" t="s">
        <v>99</v>
      </c>
      <c r="O30" s="14">
        <v>46919.8</v>
      </c>
      <c r="P30" s="14">
        <v>102000.4</v>
      </c>
      <c r="Q30" s="20">
        <v>71029.100000000006</v>
      </c>
    </row>
    <row r="31" spans="1:17" s="76" customFormat="1" ht="37.5" customHeight="1">
      <c r="A31" s="155"/>
      <c r="B31" s="303" t="s">
        <v>191</v>
      </c>
      <c r="C31" s="304"/>
      <c r="D31" s="304"/>
      <c r="E31" s="304"/>
      <c r="F31" s="304"/>
      <c r="G31" s="304"/>
      <c r="H31" s="304"/>
      <c r="I31" s="304"/>
      <c r="J31" s="304"/>
      <c r="K31" s="304"/>
      <c r="L31" s="304"/>
      <c r="M31" s="304"/>
      <c r="N31" s="304"/>
      <c r="O31" s="304"/>
      <c r="P31" s="304"/>
      <c r="Q31" s="304"/>
    </row>
    <row r="32" spans="1:17" s="79" customFormat="1" ht="30" customHeight="1">
      <c r="A32" s="194" t="s">
        <v>267</v>
      </c>
      <c r="B32" s="3">
        <v>5526861.7000000002</v>
      </c>
      <c r="C32" s="3">
        <v>3564903.5</v>
      </c>
      <c r="D32" s="3">
        <v>2910258.1</v>
      </c>
      <c r="E32" s="3">
        <v>778010.5</v>
      </c>
      <c r="F32" s="3">
        <v>3157088.8</v>
      </c>
      <c r="G32" s="3">
        <v>8862889.9000000004</v>
      </c>
      <c r="H32" s="3">
        <v>20754139.899999999</v>
      </c>
      <c r="I32" s="3">
        <v>1838801.7</v>
      </c>
      <c r="J32" s="3">
        <v>3542362.9</v>
      </c>
      <c r="K32" s="3">
        <v>2145450</v>
      </c>
      <c r="L32" s="3">
        <v>6077125.5999999996</v>
      </c>
      <c r="M32" s="3">
        <v>8109019.2000000002</v>
      </c>
      <c r="N32" s="3">
        <v>2066808.8</v>
      </c>
      <c r="O32" s="3">
        <v>2175676.2999999998</v>
      </c>
      <c r="P32" s="3">
        <v>9014818.8000000007</v>
      </c>
      <c r="Q32" s="7">
        <v>2618908.9</v>
      </c>
    </row>
    <row r="33" spans="1:17" s="79" customFormat="1" ht="30" customHeight="1">
      <c r="A33" s="212" t="s">
        <v>268</v>
      </c>
      <c r="B33" s="3">
        <v>1710723.3</v>
      </c>
      <c r="C33" s="3">
        <v>1723614</v>
      </c>
      <c r="D33" s="3">
        <v>1409950.7</v>
      </c>
      <c r="E33" s="3">
        <v>422218.4</v>
      </c>
      <c r="F33" s="3">
        <v>1706595.1</v>
      </c>
      <c r="G33" s="3">
        <v>4788302.0999999996</v>
      </c>
      <c r="H33" s="3">
        <v>10382723.1</v>
      </c>
      <c r="I33" s="3">
        <v>1191141</v>
      </c>
      <c r="J33" s="3">
        <v>1912438.3</v>
      </c>
      <c r="K33" s="3">
        <v>1085292.6000000001</v>
      </c>
      <c r="L33" s="3">
        <v>3169862.2</v>
      </c>
      <c r="M33" s="3">
        <v>3419366.7</v>
      </c>
      <c r="N33" s="3">
        <v>1032649.3</v>
      </c>
      <c r="O33" s="3">
        <v>1292228.1000000001</v>
      </c>
      <c r="P33" s="3">
        <v>4576583.5999999996</v>
      </c>
      <c r="Q33" s="7">
        <v>1113140.3</v>
      </c>
    </row>
    <row r="34" spans="1:17" s="79" customFormat="1" ht="30" customHeight="1">
      <c r="A34" s="210" t="s">
        <v>269</v>
      </c>
      <c r="B34" s="3">
        <v>829936.5</v>
      </c>
      <c r="C34" s="3">
        <v>587627.69999999995</v>
      </c>
      <c r="D34" s="3">
        <v>603507.9</v>
      </c>
      <c r="E34" s="3">
        <v>112549.1</v>
      </c>
      <c r="F34" s="3">
        <v>403651</v>
      </c>
      <c r="G34" s="3">
        <v>1834571.7</v>
      </c>
      <c r="H34" s="3">
        <v>3072128.5</v>
      </c>
      <c r="I34" s="3">
        <v>268484.09999999998</v>
      </c>
      <c r="J34" s="3">
        <v>579561.1</v>
      </c>
      <c r="K34" s="3">
        <v>639243.4</v>
      </c>
      <c r="L34" s="3">
        <v>1549114.5</v>
      </c>
      <c r="M34" s="3">
        <v>983924.3</v>
      </c>
      <c r="N34" s="3">
        <v>359386.3</v>
      </c>
      <c r="O34" s="3">
        <v>500400.1</v>
      </c>
      <c r="P34" s="3">
        <v>1134998.6000000001</v>
      </c>
      <c r="Q34" s="7">
        <v>498342.2</v>
      </c>
    </row>
    <row r="35" spans="1:17" s="76" customFormat="1" ht="30" customHeight="1">
      <c r="A35" s="211" t="s">
        <v>212</v>
      </c>
      <c r="B35" s="14">
        <v>90601.7</v>
      </c>
      <c r="C35" s="14">
        <v>68608.899999999994</v>
      </c>
      <c r="D35" s="14">
        <v>71700.2</v>
      </c>
      <c r="E35" s="14">
        <v>30379.8</v>
      </c>
      <c r="F35" s="14">
        <v>69574.100000000006</v>
      </c>
      <c r="G35" s="14">
        <v>230483.7</v>
      </c>
      <c r="H35" s="14">
        <v>186937.8</v>
      </c>
      <c r="I35" s="14">
        <v>49242.5</v>
      </c>
      <c r="J35" s="14">
        <v>107692.6</v>
      </c>
      <c r="K35" s="14">
        <v>91656.5</v>
      </c>
      <c r="L35" s="14">
        <v>203849.7</v>
      </c>
      <c r="M35" s="14">
        <v>250551.2</v>
      </c>
      <c r="N35" s="14">
        <v>24455.7</v>
      </c>
      <c r="O35" s="14">
        <v>58427.6</v>
      </c>
      <c r="P35" s="14">
        <v>155603.29999999999</v>
      </c>
      <c r="Q35" s="16">
        <v>68658</v>
      </c>
    </row>
    <row r="36" spans="1:17" s="76" customFormat="1" ht="30" customHeight="1">
      <c r="A36" s="211" t="s">
        <v>213</v>
      </c>
      <c r="B36" s="14">
        <v>699451.5</v>
      </c>
      <c r="C36" s="14">
        <v>459655.8</v>
      </c>
      <c r="D36" s="14">
        <v>469816.1</v>
      </c>
      <c r="E36" s="14">
        <v>70613.600000000006</v>
      </c>
      <c r="F36" s="14">
        <v>307925.2</v>
      </c>
      <c r="G36" s="14">
        <v>1362704.2</v>
      </c>
      <c r="H36" s="14">
        <v>2767346.2</v>
      </c>
      <c r="I36" s="14">
        <v>167467.70000000001</v>
      </c>
      <c r="J36" s="14">
        <v>442589.3</v>
      </c>
      <c r="K36" s="14">
        <v>545841.4</v>
      </c>
      <c r="L36" s="14">
        <v>1282517.1000000001</v>
      </c>
      <c r="M36" s="14">
        <v>686566.7</v>
      </c>
      <c r="N36" s="14">
        <v>315806.59999999998</v>
      </c>
      <c r="O36" s="14">
        <v>426904.8</v>
      </c>
      <c r="P36" s="14">
        <v>901980.2</v>
      </c>
      <c r="Q36" s="16">
        <v>399853.3</v>
      </c>
    </row>
    <row r="37" spans="1:17" s="76" customFormat="1" ht="30" customHeight="1">
      <c r="A37" s="211" t="s">
        <v>214</v>
      </c>
      <c r="B37" s="14">
        <v>39883.300000000003</v>
      </c>
      <c r="C37" s="14">
        <v>59363</v>
      </c>
      <c r="D37" s="14">
        <v>61991.6</v>
      </c>
      <c r="E37" s="14">
        <v>11555.7</v>
      </c>
      <c r="F37" s="14">
        <v>26151.7</v>
      </c>
      <c r="G37" s="14">
        <v>241383.8</v>
      </c>
      <c r="H37" s="14">
        <v>117844.5</v>
      </c>
      <c r="I37" s="14">
        <v>51773.9</v>
      </c>
      <c r="J37" s="14">
        <v>29279.200000000001</v>
      </c>
      <c r="K37" s="14">
        <v>1745.5</v>
      </c>
      <c r="L37" s="14">
        <v>62747.7</v>
      </c>
      <c r="M37" s="14">
        <v>46806.400000000001</v>
      </c>
      <c r="N37" s="14">
        <v>19124</v>
      </c>
      <c r="O37" s="14">
        <v>15067.7</v>
      </c>
      <c r="P37" s="14">
        <v>77415.100000000006</v>
      </c>
      <c r="Q37" s="16">
        <v>29830.9</v>
      </c>
    </row>
    <row r="38" spans="1:17" s="79" customFormat="1" ht="30" customHeight="1">
      <c r="A38" s="210" t="s">
        <v>270</v>
      </c>
      <c r="B38" s="3">
        <v>880786.8</v>
      </c>
      <c r="C38" s="3">
        <v>1135986.3</v>
      </c>
      <c r="D38" s="3">
        <v>806442.8</v>
      </c>
      <c r="E38" s="3">
        <v>309669.3</v>
      </c>
      <c r="F38" s="3">
        <v>1302944.1000000001</v>
      </c>
      <c r="G38" s="3">
        <v>2953730.4</v>
      </c>
      <c r="H38" s="3">
        <v>7310594.5999999996</v>
      </c>
      <c r="I38" s="3">
        <v>922656.9</v>
      </c>
      <c r="J38" s="3">
        <v>1332877.2</v>
      </c>
      <c r="K38" s="3">
        <v>446049.2</v>
      </c>
      <c r="L38" s="3">
        <v>1620747.7</v>
      </c>
      <c r="M38" s="3">
        <v>2435442.4</v>
      </c>
      <c r="N38" s="3">
        <v>673263</v>
      </c>
      <c r="O38" s="3">
        <v>791828</v>
      </c>
      <c r="P38" s="3">
        <v>3441585</v>
      </c>
      <c r="Q38" s="5">
        <v>614798.1</v>
      </c>
    </row>
    <row r="39" spans="1:17" s="76" customFormat="1" ht="30" customHeight="1">
      <c r="A39" s="211" t="s">
        <v>215</v>
      </c>
      <c r="B39" s="14">
        <v>51925.9</v>
      </c>
      <c r="C39" s="14" t="s">
        <v>99</v>
      </c>
      <c r="D39" s="14">
        <v>26882.1</v>
      </c>
      <c r="E39" s="14" t="s">
        <v>99</v>
      </c>
      <c r="F39" s="14">
        <v>11420.1</v>
      </c>
      <c r="G39" s="14">
        <v>215186.1</v>
      </c>
      <c r="H39" s="14">
        <v>244777.60000000001</v>
      </c>
      <c r="I39" s="14">
        <v>5142.3999999999996</v>
      </c>
      <c r="J39" s="14">
        <v>49859.6</v>
      </c>
      <c r="K39" s="14">
        <v>5760.4</v>
      </c>
      <c r="L39" s="14">
        <v>96855.7</v>
      </c>
      <c r="M39" s="14">
        <v>46315.4</v>
      </c>
      <c r="N39" s="14">
        <v>5691.8</v>
      </c>
      <c r="O39" s="14" t="s">
        <v>99</v>
      </c>
      <c r="P39" s="14">
        <v>60142.6</v>
      </c>
      <c r="Q39" s="16" t="s">
        <v>99</v>
      </c>
    </row>
    <row r="40" spans="1:17" s="76" customFormat="1" ht="30" customHeight="1">
      <c r="A40" s="211" t="s">
        <v>216</v>
      </c>
      <c r="B40" s="14">
        <v>110323.8</v>
      </c>
      <c r="C40" s="14">
        <v>71972.5</v>
      </c>
      <c r="D40" s="14">
        <v>108170.4</v>
      </c>
      <c r="E40" s="14">
        <v>19223.599999999999</v>
      </c>
      <c r="F40" s="14" t="s">
        <v>99</v>
      </c>
      <c r="G40" s="14">
        <v>531095</v>
      </c>
      <c r="H40" s="14">
        <v>1928343</v>
      </c>
      <c r="I40" s="14">
        <v>29103.200000000001</v>
      </c>
      <c r="J40" s="14">
        <v>139991.29999999999</v>
      </c>
      <c r="K40" s="14">
        <v>17504.5</v>
      </c>
      <c r="L40" s="14">
        <v>152710</v>
      </c>
      <c r="M40" s="14">
        <v>177463.2</v>
      </c>
      <c r="N40" s="14" t="s">
        <v>99</v>
      </c>
      <c r="O40" s="14">
        <v>36403.9</v>
      </c>
      <c r="P40" s="14">
        <v>160228.4</v>
      </c>
      <c r="Q40" s="16">
        <v>18537.8</v>
      </c>
    </row>
    <row r="41" spans="1:17" s="76" customFormat="1" ht="30" customHeight="1">
      <c r="A41" s="211" t="s">
        <v>217</v>
      </c>
      <c r="B41" s="14">
        <v>170410.6</v>
      </c>
      <c r="C41" s="14">
        <v>130261.4</v>
      </c>
      <c r="D41" s="14">
        <v>111197</v>
      </c>
      <c r="E41" s="14" t="s">
        <v>99</v>
      </c>
      <c r="F41" s="14">
        <v>203568.8</v>
      </c>
      <c r="G41" s="14">
        <v>860246.2</v>
      </c>
      <c r="H41" s="14">
        <v>1236606.6000000001</v>
      </c>
      <c r="I41" s="14">
        <v>390675.7</v>
      </c>
      <c r="J41" s="14">
        <v>326141.59999999998</v>
      </c>
      <c r="K41" s="14">
        <v>33774.400000000001</v>
      </c>
      <c r="L41" s="14">
        <v>395796.9</v>
      </c>
      <c r="M41" s="14">
        <v>533328.6</v>
      </c>
      <c r="N41" s="14">
        <v>115405.6</v>
      </c>
      <c r="O41" s="14">
        <v>218491.9</v>
      </c>
      <c r="P41" s="14">
        <v>509122.2</v>
      </c>
      <c r="Q41" s="16" t="s">
        <v>99</v>
      </c>
    </row>
    <row r="42" spans="1:17" s="76" customFormat="1" ht="30" customHeight="1">
      <c r="A42" s="211" t="s">
        <v>218</v>
      </c>
      <c r="B42" s="14">
        <v>10445.700000000001</v>
      </c>
      <c r="C42" s="14" t="s">
        <v>99</v>
      </c>
      <c r="D42" s="14">
        <v>17323.599999999999</v>
      </c>
      <c r="E42" s="14" t="s">
        <v>99</v>
      </c>
      <c r="F42" s="14" t="s">
        <v>99</v>
      </c>
      <c r="G42" s="14">
        <v>17159.599999999999</v>
      </c>
      <c r="H42" s="14">
        <v>85276.7</v>
      </c>
      <c r="I42" s="14">
        <v>10388.9</v>
      </c>
      <c r="J42" s="14" t="s">
        <v>99</v>
      </c>
      <c r="K42" s="14" t="s">
        <v>99</v>
      </c>
      <c r="L42" s="14">
        <v>26808.1</v>
      </c>
      <c r="M42" s="14">
        <v>26229.4</v>
      </c>
      <c r="N42" s="14" t="s">
        <v>99</v>
      </c>
      <c r="O42" s="14" t="s">
        <v>99</v>
      </c>
      <c r="P42" s="14">
        <v>17641.400000000001</v>
      </c>
      <c r="Q42" s="16" t="s">
        <v>99</v>
      </c>
    </row>
    <row r="43" spans="1:17" s="76" customFormat="1" ht="30" customHeight="1">
      <c r="A43" s="211" t="s">
        <v>219</v>
      </c>
      <c r="B43" s="14">
        <v>266791</v>
      </c>
      <c r="C43" s="14">
        <v>452877.9</v>
      </c>
      <c r="D43" s="14">
        <v>324831</v>
      </c>
      <c r="E43" s="14">
        <v>144696.1</v>
      </c>
      <c r="F43" s="14">
        <v>797255.6</v>
      </c>
      <c r="G43" s="14">
        <v>752074.3</v>
      </c>
      <c r="H43" s="14">
        <v>2206970.7000000002</v>
      </c>
      <c r="I43" s="14">
        <v>410737.5</v>
      </c>
      <c r="J43" s="14">
        <v>527780.6</v>
      </c>
      <c r="K43" s="14">
        <v>191074.7</v>
      </c>
      <c r="L43" s="14">
        <v>575141</v>
      </c>
      <c r="M43" s="14">
        <v>1048649.6000000001</v>
      </c>
      <c r="N43" s="14">
        <v>227416.3</v>
      </c>
      <c r="O43" s="14">
        <v>285871.5</v>
      </c>
      <c r="P43" s="14">
        <v>2170975.7999999998</v>
      </c>
      <c r="Q43" s="16">
        <v>326898</v>
      </c>
    </row>
    <row r="44" spans="1:17" s="76" customFormat="1" ht="66" customHeight="1">
      <c r="A44" s="211" t="s">
        <v>220</v>
      </c>
      <c r="B44" s="14">
        <v>254143.6</v>
      </c>
      <c r="C44" s="14" t="s">
        <v>99</v>
      </c>
      <c r="D44" s="14">
        <v>189537.5</v>
      </c>
      <c r="E44" s="14">
        <v>57908.4</v>
      </c>
      <c r="F44" s="14">
        <v>190676.4</v>
      </c>
      <c r="G44" s="14">
        <v>479948.7</v>
      </c>
      <c r="H44" s="14">
        <v>1324578.6000000001</v>
      </c>
      <c r="I44" s="14">
        <v>70111.199999999997</v>
      </c>
      <c r="J44" s="14">
        <v>262000.1</v>
      </c>
      <c r="K44" s="14">
        <v>152381.4</v>
      </c>
      <c r="L44" s="14">
        <v>335611</v>
      </c>
      <c r="M44" s="14">
        <v>573388.69999999995</v>
      </c>
      <c r="N44" s="14">
        <v>189210.3</v>
      </c>
      <c r="O44" s="14" t="s">
        <v>99</v>
      </c>
      <c r="P44" s="14">
        <v>440590</v>
      </c>
      <c r="Q44" s="16">
        <v>85660.7</v>
      </c>
    </row>
    <row r="45" spans="1:17" ht="30" customHeight="1">
      <c r="A45" s="211" t="s">
        <v>221</v>
      </c>
      <c r="B45" s="14">
        <v>16746.2</v>
      </c>
      <c r="C45" s="14">
        <v>125426</v>
      </c>
      <c r="D45" s="14">
        <v>28501.200000000001</v>
      </c>
      <c r="E45" s="14">
        <v>42076.4</v>
      </c>
      <c r="F45" s="14">
        <v>35603.4</v>
      </c>
      <c r="G45" s="14">
        <v>98020.5</v>
      </c>
      <c r="H45" s="14">
        <v>284041.40000000002</v>
      </c>
      <c r="I45" s="14">
        <v>6498</v>
      </c>
      <c r="J45" s="14" t="s">
        <v>99</v>
      </c>
      <c r="K45" s="14" t="s">
        <v>99</v>
      </c>
      <c r="L45" s="14">
        <v>37825</v>
      </c>
      <c r="M45" s="14">
        <v>30067.5</v>
      </c>
      <c r="N45" s="14">
        <v>19263.7</v>
      </c>
      <c r="O45" s="14">
        <v>80867.399999999994</v>
      </c>
      <c r="P45" s="14">
        <v>82884.600000000006</v>
      </c>
      <c r="Q45" s="16">
        <v>55826.1</v>
      </c>
    </row>
    <row r="46" spans="1:17" s="80" customFormat="1" ht="30" customHeight="1">
      <c r="A46" s="212" t="s">
        <v>271</v>
      </c>
      <c r="B46" s="3">
        <v>3816138.4</v>
      </c>
      <c r="C46" s="3">
        <v>1841289.5</v>
      </c>
      <c r="D46" s="3">
        <v>1500307.4</v>
      </c>
      <c r="E46" s="3">
        <v>355792.1</v>
      </c>
      <c r="F46" s="3">
        <v>1450493.7</v>
      </c>
      <c r="G46" s="3">
        <v>4074587.8</v>
      </c>
      <c r="H46" s="3">
        <v>10371416.800000001</v>
      </c>
      <c r="I46" s="3">
        <v>647660.69999999995</v>
      </c>
      <c r="J46" s="3">
        <v>1629924.6</v>
      </c>
      <c r="K46" s="3">
        <v>1060157.3999999999</v>
      </c>
      <c r="L46" s="3">
        <v>2907263.4</v>
      </c>
      <c r="M46" s="3">
        <v>4689652.5</v>
      </c>
      <c r="N46" s="3">
        <v>1034159.5</v>
      </c>
      <c r="O46" s="3">
        <v>883448.2</v>
      </c>
      <c r="P46" s="3">
        <v>4438235.2</v>
      </c>
      <c r="Q46" s="5">
        <v>1505768.6</v>
      </c>
    </row>
    <row r="47" spans="1:17" ht="30" customHeight="1">
      <c r="A47" s="211" t="s">
        <v>222</v>
      </c>
      <c r="B47" s="14" t="s">
        <v>99</v>
      </c>
      <c r="C47" s="14" t="s">
        <v>99</v>
      </c>
      <c r="D47" s="14">
        <v>755636.4</v>
      </c>
      <c r="E47" s="14" t="s">
        <v>99</v>
      </c>
      <c r="F47" s="14">
        <v>562812.30000000005</v>
      </c>
      <c r="G47" s="14">
        <v>1232045.8</v>
      </c>
      <c r="H47" s="14">
        <v>5448941.5</v>
      </c>
      <c r="I47" s="14" t="s">
        <v>99</v>
      </c>
      <c r="J47" s="14">
        <v>586707</v>
      </c>
      <c r="K47" s="14">
        <v>683703.5</v>
      </c>
      <c r="L47" s="14">
        <v>755803</v>
      </c>
      <c r="M47" s="14">
        <v>1246248.8999999999</v>
      </c>
      <c r="N47" s="14">
        <v>525914.69999999995</v>
      </c>
      <c r="O47" s="14" t="s">
        <v>99</v>
      </c>
      <c r="P47" s="14" t="s">
        <v>99</v>
      </c>
      <c r="Q47" s="16" t="s">
        <v>99</v>
      </c>
    </row>
    <row r="48" spans="1:17" s="140" customFormat="1" ht="30" customHeight="1">
      <c r="A48" s="213" t="s">
        <v>223</v>
      </c>
      <c r="B48" s="14" t="s">
        <v>99</v>
      </c>
      <c r="C48" s="14" t="s">
        <v>99</v>
      </c>
      <c r="D48" s="14" t="s">
        <v>99</v>
      </c>
      <c r="E48" s="14" t="s">
        <v>99</v>
      </c>
      <c r="F48" s="14" t="s">
        <v>99</v>
      </c>
      <c r="G48" s="14">
        <v>828574.1</v>
      </c>
      <c r="H48" s="14">
        <v>1727197</v>
      </c>
      <c r="I48" s="14" t="s">
        <v>99</v>
      </c>
      <c r="J48" s="14" t="s">
        <v>99</v>
      </c>
      <c r="K48" s="14">
        <v>472.2</v>
      </c>
      <c r="L48" s="14">
        <v>433003.9</v>
      </c>
      <c r="M48" s="14">
        <v>256736</v>
      </c>
      <c r="N48" s="14" t="s">
        <v>99</v>
      </c>
      <c r="O48" s="14" t="s">
        <v>99</v>
      </c>
      <c r="P48" s="14" t="s">
        <v>99</v>
      </c>
      <c r="Q48" s="16" t="s">
        <v>99</v>
      </c>
    </row>
    <row r="49" spans="1:17" ht="30" customHeight="1">
      <c r="A49" s="211" t="s">
        <v>224</v>
      </c>
      <c r="B49" s="14" t="s">
        <v>99</v>
      </c>
      <c r="C49" s="14" t="s">
        <v>99</v>
      </c>
      <c r="D49" s="14" t="s">
        <v>101</v>
      </c>
      <c r="E49" s="14" t="s">
        <v>101</v>
      </c>
      <c r="F49" s="14" t="s">
        <v>99</v>
      </c>
      <c r="G49" s="14" t="s">
        <v>99</v>
      </c>
      <c r="H49" s="14" t="s">
        <v>99</v>
      </c>
      <c r="I49" s="14" t="s">
        <v>101</v>
      </c>
      <c r="J49" s="14" t="s">
        <v>99</v>
      </c>
      <c r="K49" s="14" t="s">
        <v>99</v>
      </c>
      <c r="L49" s="14" t="s">
        <v>99</v>
      </c>
      <c r="M49" s="14" t="s">
        <v>99</v>
      </c>
      <c r="N49" s="14" t="s">
        <v>99</v>
      </c>
      <c r="O49" s="14" t="s">
        <v>101</v>
      </c>
      <c r="P49" s="14">
        <v>185.9</v>
      </c>
      <c r="Q49" s="16" t="s">
        <v>101</v>
      </c>
    </row>
    <row r="50" spans="1:17" ht="42" customHeight="1">
      <c r="A50" s="211" t="s">
        <v>242</v>
      </c>
      <c r="B50" s="14" t="s">
        <v>99</v>
      </c>
      <c r="C50" s="14">
        <v>20041</v>
      </c>
      <c r="D50" s="14" t="s">
        <v>99</v>
      </c>
      <c r="E50" s="14" t="s">
        <v>101</v>
      </c>
      <c r="F50" s="14">
        <v>139261.29999999999</v>
      </c>
      <c r="G50" s="14">
        <v>244843.6</v>
      </c>
      <c r="H50" s="14" t="s">
        <v>99</v>
      </c>
      <c r="I50" s="14" t="s">
        <v>99</v>
      </c>
      <c r="J50" s="14" t="s">
        <v>99</v>
      </c>
      <c r="K50" s="14" t="s">
        <v>99</v>
      </c>
      <c r="L50" s="14">
        <v>147730.79999999999</v>
      </c>
      <c r="M50" s="14">
        <v>929475.8</v>
      </c>
      <c r="N50" s="14">
        <v>127093.4</v>
      </c>
      <c r="O50" s="14">
        <v>6118.7</v>
      </c>
      <c r="P50" s="14" t="s">
        <v>99</v>
      </c>
      <c r="Q50" s="16" t="s">
        <v>99</v>
      </c>
    </row>
    <row r="51" spans="1:17" ht="30" customHeight="1">
      <c r="A51" s="211" t="s">
        <v>226</v>
      </c>
      <c r="B51" s="14">
        <v>21333.599999999999</v>
      </c>
      <c r="C51" s="14" t="s">
        <v>99</v>
      </c>
      <c r="D51" s="14">
        <v>13753.3</v>
      </c>
      <c r="E51" s="14" t="s">
        <v>99</v>
      </c>
      <c r="F51" s="14" t="s">
        <v>99</v>
      </c>
      <c r="G51" s="14" t="s">
        <v>99</v>
      </c>
      <c r="H51" s="14" t="s">
        <v>99</v>
      </c>
      <c r="I51" s="14" t="s">
        <v>99</v>
      </c>
      <c r="J51" s="14" t="s">
        <v>99</v>
      </c>
      <c r="K51" s="14" t="s">
        <v>99</v>
      </c>
      <c r="L51" s="14" t="s">
        <v>99</v>
      </c>
      <c r="M51" s="14" t="s">
        <v>99</v>
      </c>
      <c r="N51" s="14" t="s">
        <v>99</v>
      </c>
      <c r="O51" s="14">
        <v>4493.3</v>
      </c>
      <c r="P51" s="14" t="s">
        <v>99</v>
      </c>
      <c r="Q51" s="16" t="s">
        <v>99</v>
      </c>
    </row>
    <row r="52" spans="1:17" ht="53.25" customHeight="1">
      <c r="A52" s="214" t="s">
        <v>241</v>
      </c>
      <c r="B52" s="14">
        <v>300413.7</v>
      </c>
      <c r="C52" s="14" t="s">
        <v>99</v>
      </c>
      <c r="D52" s="14">
        <v>298899.20000000001</v>
      </c>
      <c r="E52" s="14">
        <v>82589.399999999994</v>
      </c>
      <c r="F52" s="14" t="s">
        <v>99</v>
      </c>
      <c r="G52" s="14">
        <v>524301.9</v>
      </c>
      <c r="H52" s="14">
        <v>676706.3</v>
      </c>
      <c r="I52" s="14">
        <v>73437.100000000006</v>
      </c>
      <c r="J52" s="14">
        <v>305153.40000000002</v>
      </c>
      <c r="K52" s="14">
        <v>180223.1</v>
      </c>
      <c r="L52" s="14">
        <v>923308.8</v>
      </c>
      <c r="M52" s="14">
        <v>488688.3</v>
      </c>
      <c r="N52" s="14" t="s">
        <v>99</v>
      </c>
      <c r="O52" s="14" t="s">
        <v>99</v>
      </c>
      <c r="P52" s="14">
        <v>336021.6</v>
      </c>
      <c r="Q52" s="16">
        <v>208199.6</v>
      </c>
    </row>
    <row r="53" spans="1:17" ht="30" customHeight="1">
      <c r="A53" s="214" t="s">
        <v>228</v>
      </c>
      <c r="B53" s="14">
        <v>411038.1</v>
      </c>
      <c r="C53" s="14">
        <v>347909.5</v>
      </c>
      <c r="D53" s="14">
        <v>169509</v>
      </c>
      <c r="E53" s="14">
        <v>114825.7</v>
      </c>
      <c r="F53" s="14" t="s">
        <v>99</v>
      </c>
      <c r="G53" s="14">
        <v>774119.3</v>
      </c>
      <c r="H53" s="14">
        <v>761997.9</v>
      </c>
      <c r="I53" s="14">
        <v>82898.899999999994</v>
      </c>
      <c r="J53" s="14">
        <v>508858.7</v>
      </c>
      <c r="K53" s="14">
        <v>161035.70000000001</v>
      </c>
      <c r="L53" s="14">
        <v>452628.4</v>
      </c>
      <c r="M53" s="14">
        <v>485948</v>
      </c>
      <c r="N53" s="14" t="s">
        <v>99</v>
      </c>
      <c r="O53" s="14">
        <v>241052</v>
      </c>
      <c r="P53" s="14">
        <v>962473.9</v>
      </c>
      <c r="Q53" s="16">
        <v>233590.3</v>
      </c>
    </row>
    <row r="54" spans="1:17" ht="30" customHeight="1">
      <c r="A54" s="78" t="s">
        <v>229</v>
      </c>
      <c r="B54" s="14">
        <v>59240.4</v>
      </c>
      <c r="C54" s="14" t="s">
        <v>99</v>
      </c>
      <c r="D54" s="14">
        <v>10735.2</v>
      </c>
      <c r="E54" s="14">
        <v>19784</v>
      </c>
      <c r="F54" s="14" t="s">
        <v>99</v>
      </c>
      <c r="G54" s="14">
        <v>167506.1</v>
      </c>
      <c r="H54" s="14">
        <v>34996.5</v>
      </c>
      <c r="I54" s="14">
        <v>21445.599999999999</v>
      </c>
      <c r="J54" s="14">
        <v>276854.3</v>
      </c>
      <c r="K54" s="14" t="s">
        <v>99</v>
      </c>
      <c r="L54" s="14">
        <v>125090.1</v>
      </c>
      <c r="M54" s="14">
        <v>51987.3</v>
      </c>
      <c r="N54" s="14" t="s">
        <v>99</v>
      </c>
      <c r="O54" s="14" t="s">
        <v>99</v>
      </c>
      <c r="P54" s="14">
        <v>183363.3</v>
      </c>
      <c r="Q54" s="16">
        <v>40810.199999999997</v>
      </c>
    </row>
    <row r="55" spans="1:17" ht="30" customHeight="1">
      <c r="A55" s="214" t="s">
        <v>230</v>
      </c>
      <c r="B55" s="14" t="s">
        <v>99</v>
      </c>
      <c r="C55" s="14" t="s">
        <v>99</v>
      </c>
      <c r="D55" s="14" t="s">
        <v>99</v>
      </c>
      <c r="E55" s="14">
        <v>22244.799999999999</v>
      </c>
      <c r="F55" s="14" t="s">
        <v>99</v>
      </c>
      <c r="G55" s="14">
        <v>325008.5</v>
      </c>
      <c r="H55" s="14">
        <v>696767.7</v>
      </c>
      <c r="I55" s="14" t="s">
        <v>99</v>
      </c>
      <c r="J55" s="14" t="s">
        <v>99</v>
      </c>
      <c r="K55" s="14" t="s">
        <v>101</v>
      </c>
      <c r="L55" s="14" t="s">
        <v>99</v>
      </c>
      <c r="M55" s="14">
        <v>1029635.4</v>
      </c>
      <c r="N55" s="14" t="s">
        <v>99</v>
      </c>
      <c r="O55" s="14">
        <v>1547.4</v>
      </c>
      <c r="P55" s="14">
        <v>132409.5</v>
      </c>
      <c r="Q55" s="16">
        <v>6445.8</v>
      </c>
    </row>
    <row r="56" spans="1:17" ht="30" customHeight="1">
      <c r="A56" s="219" t="s">
        <v>237</v>
      </c>
      <c r="B56" s="14" t="s">
        <v>99</v>
      </c>
      <c r="C56" s="14" t="s">
        <v>99</v>
      </c>
      <c r="D56" s="14" t="s">
        <v>99</v>
      </c>
      <c r="E56" s="14" t="s">
        <v>99</v>
      </c>
      <c r="F56" s="14" t="s">
        <v>99</v>
      </c>
      <c r="G56" s="14">
        <v>63971.8</v>
      </c>
      <c r="H56" s="14">
        <v>131219</v>
      </c>
      <c r="I56" s="14" t="s">
        <v>99</v>
      </c>
      <c r="J56" s="14" t="s">
        <v>99</v>
      </c>
      <c r="K56" s="14" t="s">
        <v>99</v>
      </c>
      <c r="L56" s="14" t="s">
        <v>99</v>
      </c>
      <c r="M56" s="14">
        <v>162340.1</v>
      </c>
      <c r="N56" s="14" t="s">
        <v>99</v>
      </c>
      <c r="O56" s="14" t="s">
        <v>99</v>
      </c>
      <c r="P56" s="14">
        <v>31591.9</v>
      </c>
      <c r="Q56" s="16" t="s">
        <v>99</v>
      </c>
    </row>
    <row r="57" spans="1:17" ht="30" customHeight="1">
      <c r="A57" s="219" t="s">
        <v>232</v>
      </c>
      <c r="B57" s="14" t="s">
        <v>99</v>
      </c>
      <c r="C57" s="14" t="s">
        <v>99</v>
      </c>
      <c r="D57" s="14" t="s">
        <v>99</v>
      </c>
      <c r="E57" s="14" t="s">
        <v>99</v>
      </c>
      <c r="F57" s="14">
        <v>21181.9</v>
      </c>
      <c r="G57" s="14">
        <v>21549.200000000001</v>
      </c>
      <c r="H57" s="14">
        <v>87026.8</v>
      </c>
      <c r="I57" s="14" t="s">
        <v>99</v>
      </c>
      <c r="J57" s="14" t="s">
        <v>99</v>
      </c>
      <c r="K57" s="14" t="s">
        <v>99</v>
      </c>
      <c r="L57" s="14">
        <v>104279.7</v>
      </c>
      <c r="M57" s="14">
        <v>30678.1</v>
      </c>
      <c r="N57" s="14" t="s">
        <v>99</v>
      </c>
      <c r="O57" s="14" t="s">
        <v>99</v>
      </c>
      <c r="P57" s="14">
        <v>68849.899999999994</v>
      </c>
      <c r="Q57" s="16" t="s">
        <v>99</v>
      </c>
    </row>
    <row r="59" spans="1:17" ht="28.5" customHeight="1">
      <c r="A59" s="301" t="s">
        <v>243</v>
      </c>
      <c r="B59" s="302"/>
      <c r="C59" s="302"/>
      <c r="D59" s="302"/>
      <c r="E59" s="302"/>
      <c r="F59" s="302"/>
      <c r="G59" s="302"/>
      <c r="H59" s="302"/>
      <c r="I59" s="302"/>
      <c r="J59" s="302"/>
      <c r="K59" s="302"/>
      <c r="L59" s="302"/>
      <c r="M59" s="302"/>
      <c r="N59" s="302"/>
      <c r="O59" s="302"/>
      <c r="P59" s="302"/>
      <c r="Q59" s="302"/>
    </row>
  </sheetData>
  <mergeCells count="4">
    <mergeCell ref="A59:Q59"/>
    <mergeCell ref="B31:Q31"/>
    <mergeCell ref="A2:Q2"/>
    <mergeCell ref="B4:Q4"/>
  </mergeCells>
  <printOptions horizontalCentered="1"/>
  <pageMargins left="0.39370078740157483" right="0.39370078740157483" top="0.59055118110236227" bottom="0.59055118110236227" header="0.31496062992125984" footer="0.31496062992125984"/>
  <pageSetup paperSize="9" scale="48" fitToHeight="0" orientation="landscape" r:id="rId1"/>
  <headerFooter>
    <oddFooter>&amp;C&amp;9Strona &amp;P z &amp;N</oddFooter>
  </headerFooter>
  <rowBreaks count="1" manualBreakCount="1">
    <brk id="27" max="16" man="1"/>
  </rowBreaks>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20"/>
  <sheetViews>
    <sheetView zoomScale="90" zoomScaleNormal="90" workbookViewId="0">
      <pane xSplit="1" ySplit="5" topLeftCell="B6" activePane="bottomRight" state="frozen"/>
      <selection activeCell="A2" sqref="A2:P2"/>
      <selection pane="topRight" activeCell="A2" sqref="A2:P2"/>
      <selection pane="bottomLeft" activeCell="A2" sqref="A2:P2"/>
      <selection pane="bottomRight" activeCell="A2" sqref="A2:P2"/>
    </sheetView>
  </sheetViews>
  <sheetFormatPr defaultColWidth="9.140625" defaultRowHeight="12.75"/>
  <cols>
    <col min="1" max="1" width="60" style="31" customWidth="1"/>
    <col min="2" max="16" width="15.7109375" style="31" customWidth="1"/>
    <col min="17" max="16384" width="9.140625" style="31"/>
  </cols>
  <sheetData>
    <row r="2" spans="1:16" ht="30" customHeight="1">
      <c r="A2" s="295" t="s">
        <v>301</v>
      </c>
      <c r="B2" s="295"/>
      <c r="C2" s="295"/>
      <c r="D2" s="295"/>
      <c r="E2" s="295"/>
      <c r="F2" s="295"/>
      <c r="G2" s="295"/>
      <c r="H2" s="295"/>
      <c r="I2" s="295"/>
      <c r="J2" s="295"/>
      <c r="K2" s="283"/>
      <c r="L2" s="283"/>
      <c r="M2" s="283"/>
      <c r="N2" s="283"/>
      <c r="O2" s="283"/>
      <c r="P2" s="283"/>
    </row>
    <row r="3" spans="1:16" ht="33" customHeight="1">
      <c r="A3" s="285" t="s">
        <v>121</v>
      </c>
      <c r="B3" s="299" t="s">
        <v>192</v>
      </c>
      <c r="C3" s="299"/>
      <c r="D3" s="299"/>
      <c r="E3" s="299"/>
      <c r="F3" s="300"/>
      <c r="G3" s="299" t="s">
        <v>193</v>
      </c>
      <c r="H3" s="299"/>
      <c r="I3" s="299"/>
      <c r="J3" s="299"/>
      <c r="K3" s="299"/>
      <c r="L3" s="296" t="s">
        <v>194</v>
      </c>
      <c r="M3" s="296"/>
      <c r="N3" s="296"/>
      <c r="O3" s="296"/>
      <c r="P3" s="296"/>
    </row>
    <row r="4" spans="1:16" ht="33" customHeight="1">
      <c r="A4" s="287"/>
      <c r="B4" s="176">
        <v>2014</v>
      </c>
      <c r="C4" s="176">
        <v>2015</v>
      </c>
      <c r="D4" s="176">
        <v>2016</v>
      </c>
      <c r="E4" s="176">
        <v>2017</v>
      </c>
      <c r="F4" s="176">
        <v>2018</v>
      </c>
      <c r="G4" s="176">
        <v>2014</v>
      </c>
      <c r="H4" s="176">
        <v>2015</v>
      </c>
      <c r="I4" s="176">
        <v>2016</v>
      </c>
      <c r="J4" s="177">
        <v>2017</v>
      </c>
      <c r="K4" s="177">
        <v>2018</v>
      </c>
      <c r="L4" s="174">
        <v>2014</v>
      </c>
      <c r="M4" s="174">
        <v>2015</v>
      </c>
      <c r="N4" s="174">
        <v>2016</v>
      </c>
      <c r="O4" s="175">
        <v>2017</v>
      </c>
      <c r="P4" s="175">
        <v>2018</v>
      </c>
    </row>
    <row r="5" spans="1:16" ht="33" customHeight="1" thickBot="1">
      <c r="A5" s="289"/>
      <c r="B5" s="308" t="s">
        <v>195</v>
      </c>
      <c r="C5" s="308"/>
      <c r="D5" s="308"/>
      <c r="E5" s="308"/>
      <c r="F5" s="308"/>
      <c r="G5" s="308"/>
      <c r="H5" s="308"/>
      <c r="I5" s="308"/>
      <c r="J5" s="308"/>
      <c r="K5" s="308"/>
      <c r="L5" s="309"/>
      <c r="M5" s="309"/>
      <c r="N5" s="309"/>
      <c r="O5" s="309"/>
      <c r="P5" s="309"/>
    </row>
    <row r="6" spans="1:16" ht="30" customHeight="1">
      <c r="A6" s="207" t="s">
        <v>264</v>
      </c>
      <c r="B6" s="7">
        <v>88335585</v>
      </c>
      <c r="C6" s="3">
        <v>88637432.400000006</v>
      </c>
      <c r="D6" s="7">
        <v>77096295.799999997</v>
      </c>
      <c r="E6" s="55">
        <v>86619605.799999997</v>
      </c>
      <c r="F6" s="55">
        <v>105436459.40000001</v>
      </c>
      <c r="G6" s="3">
        <v>63951310</v>
      </c>
      <c r="H6" s="3">
        <v>63913479.200000003</v>
      </c>
      <c r="I6" s="3">
        <v>58417138</v>
      </c>
      <c r="J6" s="55">
        <v>66134607.100000001</v>
      </c>
      <c r="K6" s="156">
        <v>83143124.599999994</v>
      </c>
      <c r="L6" s="156">
        <v>24384275</v>
      </c>
      <c r="M6" s="168">
        <v>24723953.199999999</v>
      </c>
      <c r="N6" s="156">
        <v>18679157.799999997</v>
      </c>
      <c r="O6" s="156">
        <v>20484998.699999999</v>
      </c>
      <c r="P6" s="168">
        <v>22293334.800000001</v>
      </c>
    </row>
    <row r="7" spans="1:16" ht="30" customHeight="1">
      <c r="A7" s="225" t="s">
        <v>244</v>
      </c>
      <c r="B7" s="20">
        <v>1523805.8</v>
      </c>
      <c r="C7" s="14">
        <v>1527678.1</v>
      </c>
      <c r="D7" s="20">
        <v>1201007.3</v>
      </c>
      <c r="E7" s="43">
        <v>1503823.5</v>
      </c>
      <c r="F7" s="125">
        <v>1590525.5</v>
      </c>
      <c r="G7" s="14">
        <v>901890.2</v>
      </c>
      <c r="H7" s="14">
        <v>861810.1</v>
      </c>
      <c r="I7" s="14">
        <v>807559.7</v>
      </c>
      <c r="J7" s="43">
        <v>848365.1</v>
      </c>
      <c r="K7" s="125">
        <v>1164290.8999999999</v>
      </c>
      <c r="L7" s="43">
        <v>621915.6</v>
      </c>
      <c r="M7" s="42">
        <v>665868</v>
      </c>
      <c r="N7" s="43">
        <v>393447.6</v>
      </c>
      <c r="O7" s="43">
        <v>655458.4</v>
      </c>
      <c r="P7" s="42">
        <v>426234.6</v>
      </c>
    </row>
    <row r="8" spans="1:16" ht="30" customHeight="1">
      <c r="A8" s="217" t="s">
        <v>208</v>
      </c>
      <c r="B8" s="20">
        <v>86811779.200000003</v>
      </c>
      <c r="C8" s="14">
        <v>87109754.299999997</v>
      </c>
      <c r="D8" s="20">
        <v>75895288.5</v>
      </c>
      <c r="E8" s="43">
        <v>85115782.299999997</v>
      </c>
      <c r="F8" s="125">
        <v>103845933.90000001</v>
      </c>
      <c r="G8" s="14">
        <v>63049419.799999997</v>
      </c>
      <c r="H8" s="14">
        <v>63051669.100000001</v>
      </c>
      <c r="I8" s="14">
        <v>57609578.299999997</v>
      </c>
      <c r="J8" s="43">
        <v>65286242</v>
      </c>
      <c r="K8" s="125">
        <v>81978833.700000003</v>
      </c>
      <c r="L8" s="43">
        <v>23762359.400000006</v>
      </c>
      <c r="M8" s="42">
        <v>24058085.199999996</v>
      </c>
      <c r="N8" s="43">
        <v>18285710.200000003</v>
      </c>
      <c r="O8" s="43">
        <v>19829540.300000001</v>
      </c>
      <c r="P8" s="42">
        <v>21867100.199999999</v>
      </c>
    </row>
    <row r="9" spans="1:16" s="39" customFormat="1" ht="30" customHeight="1">
      <c r="A9" s="226" t="s">
        <v>272</v>
      </c>
      <c r="B9" s="7">
        <v>28820189.300000001</v>
      </c>
      <c r="C9" s="3">
        <v>28474146.300000001</v>
      </c>
      <c r="D9" s="7">
        <v>24850837.199999999</v>
      </c>
      <c r="E9" s="55">
        <v>27060335.800000001</v>
      </c>
      <c r="F9" s="55">
        <v>32821390.600000001</v>
      </c>
      <c r="G9" s="3">
        <v>21520911.100000001</v>
      </c>
      <c r="H9" s="3">
        <v>21306114.800000001</v>
      </c>
      <c r="I9" s="3">
        <v>19898618.5</v>
      </c>
      <c r="J9" s="55">
        <v>21801773.300000001</v>
      </c>
      <c r="K9" s="55">
        <v>26486582.5</v>
      </c>
      <c r="L9" s="55">
        <v>7299278.2000000002</v>
      </c>
      <c r="M9" s="168">
        <v>7168031.5</v>
      </c>
      <c r="N9" s="55">
        <v>4952218.7</v>
      </c>
      <c r="O9" s="55">
        <v>5258562.5</v>
      </c>
      <c r="P9" s="168">
        <v>6334808.0999999996</v>
      </c>
    </row>
    <row r="10" spans="1:16" ht="41.25" customHeight="1">
      <c r="A10" s="223" t="s">
        <v>255</v>
      </c>
      <c r="B10" s="20">
        <v>3072852.8</v>
      </c>
      <c r="C10" s="14">
        <v>2824343.1</v>
      </c>
      <c r="D10" s="20">
        <v>2737203.9</v>
      </c>
      <c r="E10" s="43">
        <v>2862112.4</v>
      </c>
      <c r="F10" s="43">
        <v>4044958.8</v>
      </c>
      <c r="G10" s="14">
        <v>1577037.5</v>
      </c>
      <c r="H10" s="14">
        <v>2033283.1</v>
      </c>
      <c r="I10" s="14">
        <v>2146989.4</v>
      </c>
      <c r="J10" s="43">
        <v>2146421.2000000002</v>
      </c>
      <c r="K10" s="43">
        <v>3064167.7</v>
      </c>
      <c r="L10" s="43">
        <v>1495815.3</v>
      </c>
      <c r="M10" s="42">
        <v>791060</v>
      </c>
      <c r="N10" s="43">
        <v>590214.5</v>
      </c>
      <c r="O10" s="43">
        <v>715691.2</v>
      </c>
      <c r="P10" s="42">
        <v>980791.1</v>
      </c>
    </row>
    <row r="11" spans="1:16" ht="38.25">
      <c r="A11" s="223" t="s">
        <v>253</v>
      </c>
      <c r="B11" s="20">
        <v>25747336.5</v>
      </c>
      <c r="C11" s="14">
        <v>25649803.199999999</v>
      </c>
      <c r="D11" s="20">
        <v>22113633.300000001</v>
      </c>
      <c r="E11" s="43">
        <v>24198223.399999999</v>
      </c>
      <c r="F11" s="43">
        <v>28776431.800000001</v>
      </c>
      <c r="G11" s="14">
        <v>19943873.600000001</v>
      </c>
      <c r="H11" s="14">
        <v>19272831.699999999</v>
      </c>
      <c r="I11" s="14">
        <v>17751629.100000001</v>
      </c>
      <c r="J11" s="43">
        <v>19655352.100000001</v>
      </c>
      <c r="K11" s="43">
        <v>23422414.800000001</v>
      </c>
      <c r="L11" s="43">
        <v>5803462.9000000004</v>
      </c>
      <c r="M11" s="42">
        <v>6376971.5</v>
      </c>
      <c r="N11" s="43">
        <v>4362004.2</v>
      </c>
      <c r="O11" s="43">
        <v>4542871.3</v>
      </c>
      <c r="P11" s="42">
        <v>5354017</v>
      </c>
    </row>
    <row r="12" spans="1:16" s="39" customFormat="1" ht="30" customHeight="1">
      <c r="A12" s="226" t="s">
        <v>273</v>
      </c>
      <c r="B12" s="7">
        <v>36253402.899999999</v>
      </c>
      <c r="C12" s="3">
        <v>35163420.899999999</v>
      </c>
      <c r="D12" s="7">
        <v>29045869.699999999</v>
      </c>
      <c r="E12" s="55">
        <v>34557070.600000001</v>
      </c>
      <c r="F12" s="55">
        <v>42892434.600000001</v>
      </c>
      <c r="G12" s="3">
        <v>26983979.5</v>
      </c>
      <c r="H12" s="3">
        <v>25460007.899999999</v>
      </c>
      <c r="I12" s="3">
        <v>21883716.100000001</v>
      </c>
      <c r="J12" s="55">
        <v>26216556.100000001</v>
      </c>
      <c r="K12" s="55">
        <v>34758742.299999997</v>
      </c>
      <c r="L12" s="55">
        <v>9269423.4000000004</v>
      </c>
      <c r="M12" s="55">
        <v>9703413</v>
      </c>
      <c r="N12" s="55">
        <v>7162153.5999999996</v>
      </c>
      <c r="O12" s="55">
        <v>8340514.5</v>
      </c>
      <c r="P12" s="168">
        <v>8133692.2999999998</v>
      </c>
    </row>
    <row r="13" spans="1:16" ht="30" customHeight="1">
      <c r="A13" s="224" t="s">
        <v>247</v>
      </c>
      <c r="B13" s="20">
        <v>23207299.100000001</v>
      </c>
      <c r="C13" s="14">
        <v>21425611.100000001</v>
      </c>
      <c r="D13" s="20">
        <v>18937464</v>
      </c>
      <c r="E13" s="43">
        <v>23574097.800000001</v>
      </c>
      <c r="F13" s="43">
        <v>29786455.399999999</v>
      </c>
      <c r="G13" s="14">
        <v>17073318.600000001</v>
      </c>
      <c r="H13" s="14">
        <v>15349231.4</v>
      </c>
      <c r="I13" s="14">
        <v>14178191.1</v>
      </c>
      <c r="J13" s="43">
        <v>18006651.600000001</v>
      </c>
      <c r="K13" s="43">
        <v>24414637.899999999</v>
      </c>
      <c r="L13" s="43">
        <v>6133980.5</v>
      </c>
      <c r="M13" s="42">
        <v>6076379.7000000002</v>
      </c>
      <c r="N13" s="43">
        <v>4759272.9000000004</v>
      </c>
      <c r="O13" s="43">
        <v>5567446.2000000002</v>
      </c>
      <c r="P13" s="42">
        <v>5371817.5</v>
      </c>
    </row>
    <row r="14" spans="1:16" ht="42.75" customHeight="1">
      <c r="A14" s="224" t="s">
        <v>248</v>
      </c>
      <c r="B14" s="20">
        <v>8402168.5999999996</v>
      </c>
      <c r="C14" s="14">
        <v>9342291.0999999996</v>
      </c>
      <c r="D14" s="20">
        <v>7008910.5</v>
      </c>
      <c r="E14" s="43">
        <v>7555620</v>
      </c>
      <c r="F14" s="43">
        <v>9474495.3000000007</v>
      </c>
      <c r="G14" s="14">
        <v>6110348.9000000004</v>
      </c>
      <c r="H14" s="14">
        <v>6855912.5999999996</v>
      </c>
      <c r="I14" s="14">
        <v>5438922.7999999998</v>
      </c>
      <c r="J14" s="43">
        <v>5728945.7000000002</v>
      </c>
      <c r="K14" s="43">
        <v>7705804.4000000004</v>
      </c>
      <c r="L14" s="43">
        <v>2291819.7000000002</v>
      </c>
      <c r="M14" s="42">
        <v>2486378.5</v>
      </c>
      <c r="N14" s="43">
        <v>1569987.7</v>
      </c>
      <c r="O14" s="43">
        <v>1826674.3</v>
      </c>
      <c r="P14" s="42">
        <v>1768690.9</v>
      </c>
    </row>
    <row r="15" spans="1:16" ht="42.75" customHeight="1">
      <c r="A15" s="224" t="s">
        <v>254</v>
      </c>
      <c r="B15" s="20">
        <v>4643935.2</v>
      </c>
      <c r="C15" s="14">
        <v>4395518.7</v>
      </c>
      <c r="D15" s="20">
        <v>3099495.2</v>
      </c>
      <c r="E15" s="43">
        <v>3427352.8</v>
      </c>
      <c r="F15" s="43">
        <v>3631483.9</v>
      </c>
      <c r="G15" s="14">
        <v>3800312</v>
      </c>
      <c r="H15" s="14">
        <v>3254863.9</v>
      </c>
      <c r="I15" s="14">
        <v>2266602.2000000002</v>
      </c>
      <c r="J15" s="43">
        <v>2480958.7999999998</v>
      </c>
      <c r="K15" s="43">
        <v>2638300</v>
      </c>
      <c r="L15" s="43">
        <v>843623.2</v>
      </c>
      <c r="M15" s="42">
        <v>1140654.8</v>
      </c>
      <c r="N15" s="43">
        <v>832893</v>
      </c>
      <c r="O15" s="43">
        <v>946394</v>
      </c>
      <c r="P15" s="42">
        <v>993183.9</v>
      </c>
    </row>
    <row r="16" spans="1:16" s="39" customFormat="1" ht="30" customHeight="1">
      <c r="A16" s="227" t="s">
        <v>274</v>
      </c>
      <c r="B16" s="7">
        <v>23261992.800000001</v>
      </c>
      <c r="C16" s="3">
        <v>24999865.199999999</v>
      </c>
      <c r="D16" s="7">
        <v>23199588.899999999</v>
      </c>
      <c r="E16" s="55">
        <v>25002199.399999999</v>
      </c>
      <c r="F16" s="55">
        <v>29722634.199999999</v>
      </c>
      <c r="G16" s="3">
        <v>15446419.4</v>
      </c>
      <c r="H16" s="3">
        <v>17147356.5</v>
      </c>
      <c r="I16" s="3">
        <v>16634803.4</v>
      </c>
      <c r="J16" s="55">
        <v>18116277.699999999</v>
      </c>
      <c r="K16" s="3">
        <v>21897799.800000001</v>
      </c>
      <c r="L16" s="55">
        <v>7815573.4000000004</v>
      </c>
      <c r="M16" s="168">
        <v>7852508.7000000002</v>
      </c>
      <c r="N16" s="55">
        <v>6564785.5</v>
      </c>
      <c r="O16" s="55">
        <v>6885921.7000000002</v>
      </c>
      <c r="P16" s="168">
        <v>7824834.4000000004</v>
      </c>
    </row>
    <row r="17" spans="1:16" ht="30" customHeight="1">
      <c r="A17" s="224" t="s">
        <v>249</v>
      </c>
      <c r="B17" s="20">
        <v>1759429.8</v>
      </c>
      <c r="C17" s="14">
        <v>1855455.8</v>
      </c>
      <c r="D17" s="20">
        <v>1705404.9</v>
      </c>
      <c r="E17" s="43">
        <v>2039338.7</v>
      </c>
      <c r="F17" s="14">
        <v>2478628.2000000002</v>
      </c>
      <c r="G17" s="14">
        <v>1102620.8</v>
      </c>
      <c r="H17" s="14">
        <v>1186626.5</v>
      </c>
      <c r="I17" s="14">
        <v>1129095.1000000001</v>
      </c>
      <c r="J17" s="43">
        <v>1488117.7</v>
      </c>
      <c r="K17" s="43">
        <v>1863804.3</v>
      </c>
      <c r="L17" s="43">
        <v>656809</v>
      </c>
      <c r="M17" s="42">
        <v>668829.30000000005</v>
      </c>
      <c r="N17" s="43">
        <v>576309.80000000005</v>
      </c>
      <c r="O17" s="43">
        <v>551221</v>
      </c>
      <c r="P17" s="42">
        <v>614823.9</v>
      </c>
    </row>
    <row r="18" spans="1:16" ht="42.75" customHeight="1">
      <c r="A18" s="224" t="s">
        <v>250</v>
      </c>
      <c r="B18" s="20">
        <v>12478816.6</v>
      </c>
      <c r="C18" s="14">
        <v>14030206.4</v>
      </c>
      <c r="D18" s="20">
        <v>12805672.199999999</v>
      </c>
      <c r="E18" s="43">
        <v>13915159.9</v>
      </c>
      <c r="F18" s="43">
        <v>15991736.1</v>
      </c>
      <c r="G18" s="14">
        <v>8388524.0999999996</v>
      </c>
      <c r="H18" s="14">
        <v>9903707</v>
      </c>
      <c r="I18" s="14">
        <v>9182224.9000000004</v>
      </c>
      <c r="J18" s="43">
        <v>10091937.4</v>
      </c>
      <c r="K18" s="14">
        <v>11720162.9</v>
      </c>
      <c r="L18" s="43">
        <v>4090292.5</v>
      </c>
      <c r="M18" s="42">
        <v>4126499.4</v>
      </c>
      <c r="N18" s="43">
        <v>3623447.3</v>
      </c>
      <c r="O18" s="43">
        <v>3823222.5</v>
      </c>
      <c r="P18" s="42">
        <v>4271573.2</v>
      </c>
    </row>
    <row r="19" spans="1:16" ht="30" customHeight="1">
      <c r="A19" s="224" t="s">
        <v>251</v>
      </c>
      <c r="B19" s="20">
        <v>2374175.6</v>
      </c>
      <c r="C19" s="14">
        <v>2554561</v>
      </c>
      <c r="D19" s="20">
        <v>2470175.1</v>
      </c>
      <c r="E19" s="43">
        <v>2518508.2000000002</v>
      </c>
      <c r="F19" s="14">
        <v>3317841.4</v>
      </c>
      <c r="G19" s="14">
        <v>1276017.2</v>
      </c>
      <c r="H19" s="14">
        <v>1474112.5</v>
      </c>
      <c r="I19" s="14">
        <v>1496822.6</v>
      </c>
      <c r="J19" s="43">
        <v>1584117.8</v>
      </c>
      <c r="K19" s="43">
        <v>2187636.2000000002</v>
      </c>
      <c r="L19" s="43">
        <v>1098158.3999999999</v>
      </c>
      <c r="M19" s="42">
        <v>1080448.5</v>
      </c>
      <c r="N19" s="43">
        <v>973352.5</v>
      </c>
      <c r="O19" s="43">
        <v>934390.4</v>
      </c>
      <c r="P19" s="42">
        <v>1130205.2</v>
      </c>
    </row>
    <row r="20" spans="1:16" ht="30" customHeight="1">
      <c r="A20" s="224" t="s">
        <v>252</v>
      </c>
      <c r="B20" s="20">
        <v>6649570.7999999998</v>
      </c>
      <c r="C20" s="14">
        <v>6559642</v>
      </c>
      <c r="D20" s="20">
        <v>6218336.7000000002</v>
      </c>
      <c r="E20" s="43">
        <v>6529192.5999999996</v>
      </c>
      <c r="F20" s="43">
        <v>7934428.5</v>
      </c>
      <c r="G20" s="14">
        <v>4679257.3</v>
      </c>
      <c r="H20" s="14">
        <v>4582910.5</v>
      </c>
      <c r="I20" s="14">
        <v>4826660.8</v>
      </c>
      <c r="J20" s="43">
        <v>4952104.8</v>
      </c>
      <c r="K20" s="14">
        <v>6126196.4000000004</v>
      </c>
      <c r="L20" s="43">
        <v>1970313.5</v>
      </c>
      <c r="M20" s="42">
        <v>1976731.5</v>
      </c>
      <c r="N20" s="43">
        <v>1391675.9</v>
      </c>
      <c r="O20" s="43">
        <v>1577087.8</v>
      </c>
      <c r="P20" s="42">
        <v>1808232.1</v>
      </c>
    </row>
  </sheetData>
  <mergeCells count="6">
    <mergeCell ref="A2:P2"/>
    <mergeCell ref="L3:P3"/>
    <mergeCell ref="A3:A5"/>
    <mergeCell ref="B3:F3"/>
    <mergeCell ref="G3:K3"/>
    <mergeCell ref="B5:P5"/>
  </mergeCells>
  <printOptions horizontalCentered="1"/>
  <pageMargins left="0.39370078740157483" right="0.39370078740157483" top="0.59055118110236227" bottom="0.59055118110236227" header="0.31496062992125984" footer="0.31496062992125984"/>
  <pageSetup paperSize="9" scale="47" fitToHeight="0" orientation="landscape" r:id="rId1"/>
  <headerFooter>
    <oddFooter>&amp;C&amp;9Strona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33"/>
  <sheetViews>
    <sheetView zoomScale="90" zoomScaleNormal="90" workbookViewId="0">
      <pane xSplit="1" ySplit="4" topLeftCell="B5" activePane="bottomRight" state="frozen"/>
      <selection activeCell="A2" sqref="A2:P2"/>
      <selection pane="topRight" activeCell="A2" sqref="A2:P2"/>
      <selection pane="bottomLeft" activeCell="A2" sqref="A2:P2"/>
      <selection pane="bottomRight" activeCell="A2" sqref="A2:Q2"/>
    </sheetView>
  </sheetViews>
  <sheetFormatPr defaultColWidth="10.42578125" defaultRowHeight="12.75"/>
  <cols>
    <col min="1" max="1" width="60" style="94" customWidth="1"/>
    <col min="2" max="2" width="14.28515625" style="54" customWidth="1"/>
    <col min="3" max="3" width="14.28515625" style="46" customWidth="1"/>
    <col min="4" max="4" width="14.28515625" style="95" customWidth="1"/>
    <col min="5" max="17" width="14.28515625" style="46" customWidth="1"/>
    <col min="18" max="16384" width="10.42578125" style="46"/>
  </cols>
  <sheetData>
    <row r="2" spans="1:17" s="82" customFormat="1" ht="30" customHeight="1">
      <c r="A2" s="314" t="s">
        <v>289</v>
      </c>
      <c r="B2" s="314"/>
      <c r="C2" s="314"/>
      <c r="D2" s="314"/>
      <c r="E2" s="314"/>
      <c r="F2" s="314"/>
      <c r="G2" s="314"/>
      <c r="H2" s="314"/>
      <c r="I2" s="314"/>
      <c r="J2" s="314"/>
      <c r="K2" s="314"/>
      <c r="L2" s="314"/>
      <c r="M2" s="314"/>
      <c r="N2" s="314"/>
      <c r="O2" s="314"/>
      <c r="P2" s="314"/>
      <c r="Q2" s="314"/>
    </row>
    <row r="3" spans="1:17" ht="33" customHeight="1" thickBot="1">
      <c r="A3" s="83" t="s">
        <v>258</v>
      </c>
      <c r="B3" s="84" t="s">
        <v>35</v>
      </c>
      <c r="C3" s="84" t="s">
        <v>14</v>
      </c>
      <c r="D3" s="85" t="s">
        <v>15</v>
      </c>
      <c r="E3" s="85" t="s">
        <v>16</v>
      </c>
      <c r="F3" s="85" t="s">
        <v>17</v>
      </c>
      <c r="G3" s="84" t="s">
        <v>23</v>
      </c>
      <c r="H3" s="86" t="s">
        <v>24</v>
      </c>
      <c r="I3" s="87" t="s">
        <v>4</v>
      </c>
      <c r="J3" s="87" t="s">
        <v>5</v>
      </c>
      <c r="K3" s="87" t="s">
        <v>6</v>
      </c>
      <c r="L3" s="88" t="s">
        <v>7</v>
      </c>
      <c r="M3" s="88" t="s">
        <v>8</v>
      </c>
      <c r="N3" s="87" t="s">
        <v>9</v>
      </c>
      <c r="O3" s="87" t="s">
        <v>10</v>
      </c>
      <c r="P3" s="89" t="s">
        <v>11</v>
      </c>
      <c r="Q3" s="167" t="s">
        <v>18</v>
      </c>
    </row>
    <row r="4" spans="1:17" ht="60" customHeight="1">
      <c r="A4" s="90"/>
      <c r="B4" s="312" t="s">
        <v>256</v>
      </c>
      <c r="C4" s="313"/>
      <c r="D4" s="313"/>
      <c r="E4" s="313"/>
      <c r="F4" s="313"/>
      <c r="G4" s="313"/>
      <c r="H4" s="313"/>
      <c r="I4" s="313"/>
      <c r="J4" s="313"/>
      <c r="K4" s="313"/>
      <c r="L4" s="313"/>
      <c r="M4" s="313"/>
      <c r="N4" s="313"/>
      <c r="O4" s="313"/>
      <c r="P4" s="313"/>
      <c r="Q4" s="313"/>
    </row>
    <row r="5" spans="1:17" s="91" customFormat="1" ht="30" customHeight="1">
      <c r="A5" s="188" t="s">
        <v>264</v>
      </c>
      <c r="B5" s="3">
        <v>7891210.5</v>
      </c>
      <c r="C5" s="3">
        <v>5099159.5999999996</v>
      </c>
      <c r="D5" s="3">
        <v>3570707.1</v>
      </c>
      <c r="E5" s="3">
        <v>1361490.1</v>
      </c>
      <c r="F5" s="3">
        <v>4468156.8</v>
      </c>
      <c r="G5" s="3">
        <v>11092252.300000001</v>
      </c>
      <c r="H5" s="3">
        <v>23679971</v>
      </c>
      <c r="I5" s="3">
        <v>2567843.7999999998</v>
      </c>
      <c r="J5" s="3">
        <v>4198546.3</v>
      </c>
      <c r="K5" s="3">
        <v>2490415.2000000002</v>
      </c>
      <c r="L5" s="3">
        <v>7782453.2999999998</v>
      </c>
      <c r="M5" s="3">
        <v>11792256.800000001</v>
      </c>
      <c r="N5" s="3">
        <v>2561737.7999999998</v>
      </c>
      <c r="O5" s="3">
        <v>2563887.6</v>
      </c>
      <c r="P5" s="3">
        <v>11163462.9</v>
      </c>
      <c r="Q5" s="4">
        <v>3152908.3</v>
      </c>
    </row>
    <row r="6" spans="1:17" s="92" customFormat="1" ht="30" customHeight="1">
      <c r="A6" s="157" t="s">
        <v>272</v>
      </c>
      <c r="B6" s="3">
        <v>1918333.2</v>
      </c>
      <c r="C6" s="3">
        <v>1452313.9</v>
      </c>
      <c r="D6" s="3">
        <v>1044126.6</v>
      </c>
      <c r="E6" s="131">
        <v>421533.5</v>
      </c>
      <c r="F6" s="3">
        <v>1606474.3</v>
      </c>
      <c r="G6" s="3">
        <v>3921527.7</v>
      </c>
      <c r="H6" s="3">
        <v>6389467.2999999998</v>
      </c>
      <c r="I6" s="3">
        <v>1252957</v>
      </c>
      <c r="J6" s="3">
        <v>1457652.4</v>
      </c>
      <c r="K6" s="3">
        <v>970407.9</v>
      </c>
      <c r="L6" s="3">
        <v>2703775.3</v>
      </c>
      <c r="M6" s="3">
        <v>3208242.9</v>
      </c>
      <c r="N6" s="3">
        <v>836053.1</v>
      </c>
      <c r="O6" s="3">
        <v>1111596.6000000001</v>
      </c>
      <c r="P6" s="3">
        <v>3613536.1</v>
      </c>
      <c r="Q6" s="4">
        <v>913392.8</v>
      </c>
    </row>
    <row r="7" spans="1:17" s="92" customFormat="1" ht="42.75" customHeight="1">
      <c r="A7" s="205" t="s">
        <v>245</v>
      </c>
      <c r="B7" s="14">
        <v>311570</v>
      </c>
      <c r="C7" s="14">
        <v>133246.6</v>
      </c>
      <c r="D7" s="14">
        <v>200788.4</v>
      </c>
      <c r="E7" s="159">
        <v>78666.7</v>
      </c>
      <c r="F7" s="14">
        <v>307012.2</v>
      </c>
      <c r="G7" s="14">
        <v>493423.3</v>
      </c>
      <c r="H7" s="14">
        <v>740932.1</v>
      </c>
      <c r="I7" s="14">
        <v>129610.1</v>
      </c>
      <c r="J7" s="14">
        <v>90475.9</v>
      </c>
      <c r="K7" s="14">
        <v>58340.800000000003</v>
      </c>
      <c r="L7" s="14">
        <v>335639.9</v>
      </c>
      <c r="M7" s="14">
        <v>445486.1</v>
      </c>
      <c r="N7" s="14">
        <v>137073</v>
      </c>
      <c r="O7" s="14">
        <v>188194.8</v>
      </c>
      <c r="P7" s="14">
        <v>251029.2</v>
      </c>
      <c r="Q7" s="15">
        <v>143469.70000000001</v>
      </c>
    </row>
    <row r="8" spans="1:17" s="92" customFormat="1" ht="42.75" customHeight="1">
      <c r="A8" s="205" t="s">
        <v>246</v>
      </c>
      <c r="B8" s="14">
        <v>1606763.2</v>
      </c>
      <c r="C8" s="14">
        <v>1319067.3</v>
      </c>
      <c r="D8" s="14">
        <v>843338.2</v>
      </c>
      <c r="E8" s="14">
        <v>342866.8</v>
      </c>
      <c r="F8" s="14">
        <v>1299462.1000000001</v>
      </c>
      <c r="G8" s="14">
        <v>3428104.4</v>
      </c>
      <c r="H8" s="14">
        <v>5648535.2000000002</v>
      </c>
      <c r="I8" s="14">
        <v>1123346.8999999999</v>
      </c>
      <c r="J8" s="14">
        <v>1367176.5</v>
      </c>
      <c r="K8" s="14">
        <v>912067.1</v>
      </c>
      <c r="L8" s="14">
        <v>2368135.4</v>
      </c>
      <c r="M8" s="14">
        <v>2762756.8</v>
      </c>
      <c r="N8" s="14">
        <v>698980.1</v>
      </c>
      <c r="O8" s="14">
        <v>923401.8</v>
      </c>
      <c r="P8" s="14">
        <v>3362506.9</v>
      </c>
      <c r="Q8" s="15">
        <v>769923.1</v>
      </c>
    </row>
    <row r="9" spans="1:17" s="92" customFormat="1" ht="38.25">
      <c r="A9" s="157" t="s">
        <v>273</v>
      </c>
      <c r="B9" s="3">
        <v>3647439.8</v>
      </c>
      <c r="C9" s="3">
        <v>1867040.6</v>
      </c>
      <c r="D9" s="3">
        <v>1477333.5</v>
      </c>
      <c r="E9" s="3">
        <v>568359.1</v>
      </c>
      <c r="F9" s="3">
        <v>1564402.8</v>
      </c>
      <c r="G9" s="3">
        <v>3945595.2</v>
      </c>
      <c r="H9" s="3">
        <v>11242714.4</v>
      </c>
      <c r="I9" s="3">
        <v>583170</v>
      </c>
      <c r="J9" s="3">
        <v>1422651.9</v>
      </c>
      <c r="K9" s="3">
        <v>795332.7</v>
      </c>
      <c r="L9" s="3">
        <v>2872615.2</v>
      </c>
      <c r="M9" s="3">
        <v>4894898.0999999996</v>
      </c>
      <c r="N9" s="3">
        <v>913417.4</v>
      </c>
      <c r="O9" s="3">
        <v>753370.7</v>
      </c>
      <c r="P9" s="3">
        <v>4816674.7</v>
      </c>
      <c r="Q9" s="4">
        <v>1527418.5</v>
      </c>
    </row>
    <row r="10" spans="1:17" s="92" customFormat="1" ht="30" customHeight="1">
      <c r="A10" s="206" t="s">
        <v>247</v>
      </c>
      <c r="B10" s="14">
        <v>2917582.8</v>
      </c>
      <c r="C10" s="14">
        <v>1318514.3</v>
      </c>
      <c r="D10" s="14">
        <v>884028.2</v>
      </c>
      <c r="E10" s="14">
        <v>332187.90000000002</v>
      </c>
      <c r="F10" s="14">
        <v>900870.4</v>
      </c>
      <c r="G10" s="14">
        <v>2790533.5</v>
      </c>
      <c r="H10" s="14">
        <v>9463468.4000000004</v>
      </c>
      <c r="I10" s="14">
        <v>460234.9</v>
      </c>
      <c r="J10" s="14">
        <v>843130.5</v>
      </c>
      <c r="K10" s="14">
        <v>578006.69999999995</v>
      </c>
      <c r="L10" s="14">
        <v>1519430.3</v>
      </c>
      <c r="M10" s="14">
        <v>2950631.5</v>
      </c>
      <c r="N10" s="14">
        <v>635786.69999999995</v>
      </c>
      <c r="O10" s="14">
        <v>293642.40000000002</v>
      </c>
      <c r="P10" s="14">
        <v>3309220.2</v>
      </c>
      <c r="Q10" s="15">
        <v>589186.69999999995</v>
      </c>
    </row>
    <row r="11" spans="1:17" s="92" customFormat="1" ht="42.75" customHeight="1">
      <c r="A11" s="206" t="s">
        <v>248</v>
      </c>
      <c r="B11" s="14" t="s">
        <v>99</v>
      </c>
      <c r="C11" s="14">
        <v>443197.2</v>
      </c>
      <c r="D11" s="14" t="s">
        <v>99</v>
      </c>
      <c r="E11" s="14" t="s">
        <v>99</v>
      </c>
      <c r="F11" s="14">
        <v>588605.9</v>
      </c>
      <c r="G11" s="14">
        <v>975403.3</v>
      </c>
      <c r="H11" s="14">
        <v>1388568.4</v>
      </c>
      <c r="I11" s="14" t="s">
        <v>99</v>
      </c>
      <c r="J11" s="14">
        <v>495663.2</v>
      </c>
      <c r="K11" s="14" t="s">
        <v>99</v>
      </c>
      <c r="L11" s="14">
        <v>1211341</v>
      </c>
      <c r="M11" s="14">
        <v>973476.1</v>
      </c>
      <c r="N11" s="14">
        <v>224282.9</v>
      </c>
      <c r="O11" s="14">
        <v>443518</v>
      </c>
      <c r="P11" s="14">
        <v>988482.3</v>
      </c>
      <c r="Q11" s="15" t="s">
        <v>99</v>
      </c>
    </row>
    <row r="12" spans="1:17" s="93" customFormat="1" ht="42.75" customHeight="1">
      <c r="A12" s="206" t="s">
        <v>286</v>
      </c>
      <c r="B12" s="14" t="s">
        <v>99</v>
      </c>
      <c r="C12" s="14">
        <v>105329.1</v>
      </c>
      <c r="D12" s="14" t="s">
        <v>99</v>
      </c>
      <c r="E12" s="14" t="s">
        <v>99</v>
      </c>
      <c r="F12" s="14">
        <v>74926.5</v>
      </c>
      <c r="G12" s="14">
        <v>179658.4</v>
      </c>
      <c r="H12" s="14">
        <v>390677.6</v>
      </c>
      <c r="I12" s="14" t="s">
        <v>99</v>
      </c>
      <c r="J12" s="14">
        <v>83858.2</v>
      </c>
      <c r="K12" s="14" t="s">
        <v>99</v>
      </c>
      <c r="L12" s="14">
        <v>141843.9</v>
      </c>
      <c r="M12" s="14">
        <v>970790.5</v>
      </c>
      <c r="N12" s="14">
        <v>53347.8</v>
      </c>
      <c r="O12" s="14">
        <v>16210.3</v>
      </c>
      <c r="P12" s="14">
        <v>518972.2</v>
      </c>
      <c r="Q12" s="15" t="s">
        <v>99</v>
      </c>
    </row>
    <row r="13" spans="1:17" s="93" customFormat="1" ht="30" customHeight="1">
      <c r="A13" s="229" t="s">
        <v>274</v>
      </c>
      <c r="B13" s="3">
        <v>2325437.5</v>
      </c>
      <c r="C13" s="3">
        <v>1779805.1</v>
      </c>
      <c r="D13" s="3">
        <v>1049247</v>
      </c>
      <c r="E13" s="3">
        <v>371597.5</v>
      </c>
      <c r="F13" s="3">
        <v>1297279.7</v>
      </c>
      <c r="G13" s="3">
        <v>3225129.4</v>
      </c>
      <c r="H13" s="3">
        <v>6047789.2999999998</v>
      </c>
      <c r="I13" s="3">
        <v>731716.8</v>
      </c>
      <c r="J13" s="3">
        <v>1318242</v>
      </c>
      <c r="K13" s="3">
        <v>724674.6</v>
      </c>
      <c r="L13" s="3">
        <v>2206062.7999999998</v>
      </c>
      <c r="M13" s="3">
        <v>3689115.8</v>
      </c>
      <c r="N13" s="3">
        <v>812267.3</v>
      </c>
      <c r="O13" s="3">
        <v>698920.3</v>
      </c>
      <c r="P13" s="3">
        <v>2733252.1</v>
      </c>
      <c r="Q13" s="4">
        <v>712097</v>
      </c>
    </row>
    <row r="14" spans="1:17" s="93" customFormat="1" ht="30" customHeight="1">
      <c r="A14" s="206" t="s">
        <v>249</v>
      </c>
      <c r="B14" s="14">
        <v>175220.3</v>
      </c>
      <c r="C14" s="14">
        <v>65691.3</v>
      </c>
      <c r="D14" s="14">
        <v>124381.3</v>
      </c>
      <c r="E14" s="14">
        <v>17942.5</v>
      </c>
      <c r="F14" s="14">
        <v>68334.8</v>
      </c>
      <c r="G14" s="14">
        <v>278981.90000000002</v>
      </c>
      <c r="H14" s="14">
        <v>749630.8</v>
      </c>
      <c r="I14" s="14">
        <v>53752.5</v>
      </c>
      <c r="J14" s="14">
        <v>47885.4</v>
      </c>
      <c r="K14" s="14">
        <v>47136.1</v>
      </c>
      <c r="L14" s="14">
        <v>242134.8</v>
      </c>
      <c r="M14" s="14">
        <v>160246</v>
      </c>
      <c r="N14" s="14">
        <v>105034</v>
      </c>
      <c r="O14" s="14">
        <v>68437.2</v>
      </c>
      <c r="P14" s="14">
        <v>224351</v>
      </c>
      <c r="Q14" s="15">
        <v>49468.3</v>
      </c>
    </row>
    <row r="15" spans="1:17" s="93" customFormat="1" ht="42.75" customHeight="1">
      <c r="A15" s="206" t="s">
        <v>287</v>
      </c>
      <c r="B15" s="14">
        <v>1031292.6</v>
      </c>
      <c r="C15" s="14">
        <v>794879.9</v>
      </c>
      <c r="D15" s="14">
        <v>668207.80000000005</v>
      </c>
      <c r="E15" s="14">
        <v>263897.5</v>
      </c>
      <c r="F15" s="14">
        <v>670434.5</v>
      </c>
      <c r="G15" s="14">
        <v>1532657.2</v>
      </c>
      <c r="H15" s="14">
        <v>3235271.7</v>
      </c>
      <c r="I15" s="14">
        <v>498360.6</v>
      </c>
      <c r="J15" s="14">
        <v>924774.8</v>
      </c>
      <c r="K15" s="14">
        <v>552402.4</v>
      </c>
      <c r="L15" s="14">
        <v>1185624.6000000001</v>
      </c>
      <c r="M15" s="14">
        <v>2050221.3</v>
      </c>
      <c r="N15" s="14">
        <v>351510.4</v>
      </c>
      <c r="O15" s="14">
        <v>302139</v>
      </c>
      <c r="P15" s="14">
        <v>1503063.7</v>
      </c>
      <c r="Q15" s="15">
        <v>426998.1</v>
      </c>
    </row>
    <row r="16" spans="1:17" ht="30" customHeight="1">
      <c r="A16" s="206" t="s">
        <v>251</v>
      </c>
      <c r="B16" s="14">
        <v>187341.6</v>
      </c>
      <c r="C16" s="14">
        <v>163287.79999999999</v>
      </c>
      <c r="D16" s="14">
        <v>164233.79999999999</v>
      </c>
      <c r="E16" s="14">
        <v>31662.7</v>
      </c>
      <c r="F16" s="14">
        <v>130317.2</v>
      </c>
      <c r="G16" s="14">
        <v>468067.5</v>
      </c>
      <c r="H16" s="14">
        <v>610418.80000000005</v>
      </c>
      <c r="I16" s="14">
        <v>90607.2</v>
      </c>
      <c r="J16" s="14">
        <v>123222.6</v>
      </c>
      <c r="K16" s="14">
        <v>107404.1</v>
      </c>
      <c r="L16" s="14">
        <v>398590.3</v>
      </c>
      <c r="M16" s="14">
        <v>295599.59999999998</v>
      </c>
      <c r="N16" s="14">
        <v>119496.7</v>
      </c>
      <c r="O16" s="14">
        <v>69109</v>
      </c>
      <c r="P16" s="14">
        <v>291487.2</v>
      </c>
      <c r="Q16" s="15">
        <v>66995.3</v>
      </c>
    </row>
    <row r="17" spans="1:17" ht="30" customHeight="1">
      <c r="A17" s="206" t="s">
        <v>252</v>
      </c>
      <c r="B17" s="240">
        <v>931583</v>
      </c>
      <c r="C17" s="240">
        <v>755946.1</v>
      </c>
      <c r="D17" s="240">
        <v>92424.1</v>
      </c>
      <c r="E17" s="240">
        <v>58094.8</v>
      </c>
      <c r="F17" s="240">
        <v>428193.2</v>
      </c>
      <c r="G17" s="240">
        <v>945422.8</v>
      </c>
      <c r="H17" s="240">
        <v>1452468</v>
      </c>
      <c r="I17" s="240">
        <v>88996.5</v>
      </c>
      <c r="J17" s="240">
        <v>222359.2</v>
      </c>
      <c r="K17" s="240">
        <v>17732</v>
      </c>
      <c r="L17" s="240">
        <v>379713.1</v>
      </c>
      <c r="M17" s="240">
        <v>1183048.8999999999</v>
      </c>
      <c r="N17" s="240">
        <v>236226.2</v>
      </c>
      <c r="O17" s="240">
        <v>259235.1</v>
      </c>
      <c r="P17" s="240">
        <v>714350.2</v>
      </c>
      <c r="Q17" s="241">
        <v>168635.3</v>
      </c>
    </row>
    <row r="18" spans="1:17" ht="37.5" customHeight="1">
      <c r="B18" s="310" t="s">
        <v>196</v>
      </c>
      <c r="C18" s="311"/>
      <c r="D18" s="311"/>
      <c r="E18" s="311"/>
      <c r="F18" s="311"/>
      <c r="G18" s="311"/>
      <c r="H18" s="311"/>
      <c r="I18" s="311"/>
      <c r="J18" s="311"/>
      <c r="K18" s="311"/>
      <c r="L18" s="311"/>
      <c r="M18" s="311"/>
      <c r="N18" s="311"/>
      <c r="O18" s="311"/>
      <c r="P18" s="311"/>
      <c r="Q18" s="311"/>
    </row>
    <row r="19" spans="1:17" ht="30" customHeight="1">
      <c r="A19" s="188" t="s">
        <v>211</v>
      </c>
      <c r="B19" s="3">
        <v>5526861.7000000002</v>
      </c>
      <c r="C19" s="3">
        <v>3564903.5</v>
      </c>
      <c r="D19" s="3">
        <v>2910258.1</v>
      </c>
      <c r="E19" s="3">
        <v>778010.5</v>
      </c>
      <c r="F19" s="3">
        <v>3157088.8</v>
      </c>
      <c r="G19" s="3">
        <v>8862889.9000000004</v>
      </c>
      <c r="H19" s="3">
        <v>20754139.899999999</v>
      </c>
      <c r="I19" s="3">
        <v>1838801.7</v>
      </c>
      <c r="J19" s="3">
        <v>3542362.9</v>
      </c>
      <c r="K19" s="3">
        <v>2145450</v>
      </c>
      <c r="L19" s="3">
        <v>6077125.5999999996</v>
      </c>
      <c r="M19" s="3">
        <v>8109019.2000000002</v>
      </c>
      <c r="N19" s="3">
        <v>2066808.8</v>
      </c>
      <c r="O19" s="3">
        <v>2175676.2999999998</v>
      </c>
      <c r="P19" s="3">
        <v>9014818.8000000007</v>
      </c>
      <c r="Q19" s="5">
        <v>2618908.9</v>
      </c>
    </row>
    <row r="20" spans="1:17" ht="30" customHeight="1">
      <c r="A20" s="157" t="s">
        <v>272</v>
      </c>
      <c r="B20" s="3">
        <v>1225800.8999999999</v>
      </c>
      <c r="C20" s="3">
        <v>876453</v>
      </c>
      <c r="D20" s="3">
        <v>875929.4</v>
      </c>
      <c r="E20" s="131">
        <v>260494.9</v>
      </c>
      <c r="F20" s="3">
        <v>1282147.1000000001</v>
      </c>
      <c r="G20" s="3">
        <v>3210491.8</v>
      </c>
      <c r="H20" s="3">
        <v>5894054.2000000002</v>
      </c>
      <c r="I20" s="3">
        <v>893129.7</v>
      </c>
      <c r="J20" s="3">
        <v>1316845.5</v>
      </c>
      <c r="K20" s="3">
        <v>846772.5</v>
      </c>
      <c r="L20" s="3">
        <v>1989950.2</v>
      </c>
      <c r="M20" s="3">
        <v>2176653.9</v>
      </c>
      <c r="N20" s="3">
        <v>676394.2</v>
      </c>
      <c r="O20" s="3">
        <v>927668.2</v>
      </c>
      <c r="P20" s="3">
        <v>3241533.7</v>
      </c>
      <c r="Q20" s="5">
        <v>792263.3</v>
      </c>
    </row>
    <row r="21" spans="1:17" ht="42.75" customHeight="1">
      <c r="A21" s="205" t="s">
        <v>245</v>
      </c>
      <c r="B21" s="14">
        <v>231774.3</v>
      </c>
      <c r="C21" s="14">
        <v>48772.3</v>
      </c>
      <c r="D21" s="14" t="s">
        <v>99</v>
      </c>
      <c r="E21" s="14">
        <v>62970.9</v>
      </c>
      <c r="F21" s="14" t="s">
        <v>99</v>
      </c>
      <c r="G21" s="14">
        <v>354056.1</v>
      </c>
      <c r="H21" s="14">
        <v>587116.6</v>
      </c>
      <c r="I21" s="14">
        <v>66499</v>
      </c>
      <c r="J21" s="14">
        <v>59985.8</v>
      </c>
      <c r="K21" s="14" t="s">
        <v>99</v>
      </c>
      <c r="L21" s="14">
        <v>284333.09999999998</v>
      </c>
      <c r="M21" s="14">
        <v>343191.7</v>
      </c>
      <c r="N21" s="14">
        <v>107407.3</v>
      </c>
      <c r="O21" s="14">
        <v>129092.5</v>
      </c>
      <c r="P21" s="14">
        <v>184669.7</v>
      </c>
      <c r="Q21" s="16">
        <v>127419.1</v>
      </c>
    </row>
    <row r="22" spans="1:17" ht="42.75" customHeight="1">
      <c r="A22" s="205" t="s">
        <v>246</v>
      </c>
      <c r="B22" s="14">
        <v>994026.6</v>
      </c>
      <c r="C22" s="14">
        <v>827680.7</v>
      </c>
      <c r="D22" s="14" t="s">
        <v>99</v>
      </c>
      <c r="E22" s="14">
        <v>197524</v>
      </c>
      <c r="F22" s="14" t="s">
        <v>99</v>
      </c>
      <c r="G22" s="14">
        <v>2856435.7</v>
      </c>
      <c r="H22" s="14">
        <v>5306937.5999999996</v>
      </c>
      <c r="I22" s="14">
        <v>826630.7</v>
      </c>
      <c r="J22" s="14">
        <v>1256859.7</v>
      </c>
      <c r="K22" s="14" t="s">
        <v>99</v>
      </c>
      <c r="L22" s="14">
        <v>1705617.1</v>
      </c>
      <c r="M22" s="14">
        <v>1833462.2</v>
      </c>
      <c r="N22" s="14">
        <v>568986.9</v>
      </c>
      <c r="O22" s="14">
        <v>798575.7</v>
      </c>
      <c r="P22" s="14">
        <v>3056864</v>
      </c>
      <c r="Q22" s="16">
        <v>664844.19999999995</v>
      </c>
    </row>
    <row r="23" spans="1:17" ht="30" customHeight="1">
      <c r="A23" s="157" t="s">
        <v>273</v>
      </c>
      <c r="B23" s="3">
        <v>2622362.6</v>
      </c>
      <c r="C23" s="3">
        <v>1509429.3</v>
      </c>
      <c r="D23" s="3">
        <v>1149858.1000000001</v>
      </c>
      <c r="E23" s="3">
        <v>293134.40000000002</v>
      </c>
      <c r="F23" s="3">
        <v>1171325.1000000001</v>
      </c>
      <c r="G23" s="3">
        <v>3097083</v>
      </c>
      <c r="H23" s="3">
        <v>10070331.4</v>
      </c>
      <c r="I23" s="3">
        <v>462752.8</v>
      </c>
      <c r="J23" s="3">
        <v>1135646.1000000001</v>
      </c>
      <c r="K23" s="3">
        <v>654522.80000000005</v>
      </c>
      <c r="L23" s="3">
        <v>2456900.4</v>
      </c>
      <c r="M23" s="3">
        <v>3372803.5</v>
      </c>
      <c r="N23" s="3">
        <v>720233.7</v>
      </c>
      <c r="O23" s="3">
        <v>610957.6</v>
      </c>
      <c r="P23" s="3">
        <v>4021194.1</v>
      </c>
      <c r="Q23" s="5">
        <v>1410207.4</v>
      </c>
    </row>
    <row r="24" spans="1:17" ht="30" customHeight="1">
      <c r="A24" s="206" t="s">
        <v>247</v>
      </c>
      <c r="B24" s="14">
        <v>2073337.5</v>
      </c>
      <c r="C24" s="14">
        <v>1048618.6000000001</v>
      </c>
      <c r="D24" s="14">
        <v>714088.4</v>
      </c>
      <c r="E24" s="14">
        <v>128087.7</v>
      </c>
      <c r="F24" s="14" t="s">
        <v>99</v>
      </c>
      <c r="G24" s="14">
        <v>2120137.4</v>
      </c>
      <c r="H24" s="14">
        <v>8678153.9000000004</v>
      </c>
      <c r="I24" s="14">
        <v>353529.7</v>
      </c>
      <c r="J24" s="14">
        <v>662931.1</v>
      </c>
      <c r="K24" s="14">
        <v>457259</v>
      </c>
      <c r="L24" s="14">
        <v>1186689.3</v>
      </c>
      <c r="M24" s="14">
        <v>2195181</v>
      </c>
      <c r="N24" s="14" t="s">
        <v>99</v>
      </c>
      <c r="O24" s="14">
        <v>236580.3</v>
      </c>
      <c r="P24" s="14">
        <v>2794078.5</v>
      </c>
      <c r="Q24" s="16">
        <v>530801</v>
      </c>
    </row>
    <row r="25" spans="1:17" ht="42.75" customHeight="1">
      <c r="A25" s="206" t="s">
        <v>248</v>
      </c>
      <c r="B25" s="14" t="s">
        <v>99</v>
      </c>
      <c r="C25" s="14" t="s">
        <v>99</v>
      </c>
      <c r="D25" s="14" t="s">
        <v>99</v>
      </c>
      <c r="E25" s="14" t="s">
        <v>99</v>
      </c>
      <c r="F25" s="14">
        <v>357868.7</v>
      </c>
      <c r="G25" s="14">
        <v>864765.1</v>
      </c>
      <c r="H25" s="14">
        <v>1130444.1000000001</v>
      </c>
      <c r="I25" s="14" t="s">
        <v>99</v>
      </c>
      <c r="J25" s="14">
        <v>407136.1</v>
      </c>
      <c r="K25" s="14" t="s">
        <v>99</v>
      </c>
      <c r="L25" s="14">
        <v>1148171.8999999999</v>
      </c>
      <c r="M25" s="14">
        <v>689493.1</v>
      </c>
      <c r="N25" s="14" t="s">
        <v>99</v>
      </c>
      <c r="O25" s="14" t="s">
        <v>99</v>
      </c>
      <c r="P25" s="14">
        <v>783474.5</v>
      </c>
      <c r="Q25" s="16" t="s">
        <v>99</v>
      </c>
    </row>
    <row r="26" spans="1:17" ht="42.75" customHeight="1">
      <c r="A26" s="206" t="s">
        <v>286</v>
      </c>
      <c r="B26" s="14" t="s">
        <v>99</v>
      </c>
      <c r="C26" s="14" t="s">
        <v>99</v>
      </c>
      <c r="D26" s="14" t="s">
        <v>99</v>
      </c>
      <c r="E26" s="14" t="s">
        <v>99</v>
      </c>
      <c r="F26" s="14" t="s">
        <v>99</v>
      </c>
      <c r="G26" s="14">
        <v>112180.5</v>
      </c>
      <c r="H26" s="14">
        <v>261733.4</v>
      </c>
      <c r="I26" s="14" t="s">
        <v>99</v>
      </c>
      <c r="J26" s="14">
        <v>65578.899999999994</v>
      </c>
      <c r="K26" s="14" t="s">
        <v>99</v>
      </c>
      <c r="L26" s="14">
        <v>122039.2</v>
      </c>
      <c r="M26" s="14">
        <v>488129.4</v>
      </c>
      <c r="N26" s="14" t="s">
        <v>99</v>
      </c>
      <c r="O26" s="14" t="s">
        <v>99</v>
      </c>
      <c r="P26" s="14">
        <v>443641.1</v>
      </c>
      <c r="Q26" s="16" t="s">
        <v>99</v>
      </c>
    </row>
    <row r="27" spans="1:17" ht="30" customHeight="1">
      <c r="A27" s="229" t="s">
        <v>274</v>
      </c>
      <c r="B27" s="3">
        <v>1678698.2</v>
      </c>
      <c r="C27" s="3">
        <v>1179021.2</v>
      </c>
      <c r="D27" s="3">
        <v>884470.6</v>
      </c>
      <c r="E27" s="3">
        <v>224381.2</v>
      </c>
      <c r="F27" s="3">
        <v>703616.6</v>
      </c>
      <c r="G27" s="3">
        <v>2555315.1</v>
      </c>
      <c r="H27" s="3">
        <v>4789754.3</v>
      </c>
      <c r="I27" s="3">
        <v>482919.2</v>
      </c>
      <c r="J27" s="3">
        <v>1089871.3</v>
      </c>
      <c r="K27" s="3">
        <v>644154.69999999995</v>
      </c>
      <c r="L27" s="3">
        <v>1630275</v>
      </c>
      <c r="M27" s="3">
        <v>2559561.7999999998</v>
      </c>
      <c r="N27" s="3">
        <v>670180.9</v>
      </c>
      <c r="O27" s="3">
        <v>637050.5</v>
      </c>
      <c r="P27" s="3">
        <v>1752091</v>
      </c>
      <c r="Q27" s="5">
        <v>416438.2</v>
      </c>
    </row>
    <row r="28" spans="1:17" ht="30" customHeight="1">
      <c r="A28" s="206" t="s">
        <v>249</v>
      </c>
      <c r="B28" s="14" t="s">
        <v>99</v>
      </c>
      <c r="C28" s="14">
        <v>19326.900000000001</v>
      </c>
      <c r="D28" s="14">
        <v>101872.3</v>
      </c>
      <c r="E28" s="14">
        <v>5060.3999999999996</v>
      </c>
      <c r="F28" s="14">
        <v>57141.4</v>
      </c>
      <c r="G28" s="14">
        <v>175442.3</v>
      </c>
      <c r="H28" s="14">
        <v>671967.1</v>
      </c>
      <c r="I28" s="14" t="s">
        <v>99</v>
      </c>
      <c r="J28" s="14" t="s">
        <v>99</v>
      </c>
      <c r="K28" s="14" t="s">
        <v>99</v>
      </c>
      <c r="L28" s="14" t="s">
        <v>99</v>
      </c>
      <c r="M28" s="14">
        <v>79114</v>
      </c>
      <c r="N28" s="14">
        <v>100853.7</v>
      </c>
      <c r="O28" s="14" t="s">
        <v>99</v>
      </c>
      <c r="P28" s="14">
        <v>95556.800000000003</v>
      </c>
      <c r="Q28" s="16">
        <v>42995.9</v>
      </c>
    </row>
    <row r="29" spans="1:17" ht="42.75" customHeight="1">
      <c r="A29" s="206" t="s">
        <v>287</v>
      </c>
      <c r="B29" s="14">
        <v>627175.4</v>
      </c>
      <c r="C29" s="14">
        <v>517980.1</v>
      </c>
      <c r="D29" s="14">
        <v>582559.19999999995</v>
      </c>
      <c r="E29" s="14">
        <v>183419.5</v>
      </c>
      <c r="F29" s="14">
        <v>317819.3</v>
      </c>
      <c r="G29" s="14">
        <v>1309232.3</v>
      </c>
      <c r="H29" s="14">
        <v>2440452.2000000002</v>
      </c>
      <c r="I29" s="14">
        <v>328567.7</v>
      </c>
      <c r="J29" s="14">
        <v>794330.7</v>
      </c>
      <c r="K29" s="14">
        <v>501389.2</v>
      </c>
      <c r="L29" s="14">
        <v>868871.5</v>
      </c>
      <c r="M29" s="14">
        <v>1455189.3</v>
      </c>
      <c r="N29" s="14">
        <v>276306.2</v>
      </c>
      <c r="O29" s="14">
        <v>273543.7</v>
      </c>
      <c r="P29" s="14">
        <v>1025690.2</v>
      </c>
      <c r="Q29" s="16">
        <v>217636.4</v>
      </c>
    </row>
    <row r="30" spans="1:17" ht="30" customHeight="1">
      <c r="A30" s="206" t="s">
        <v>251</v>
      </c>
      <c r="B30" s="14" t="s">
        <v>99</v>
      </c>
      <c r="C30" s="14">
        <v>37532.400000000001</v>
      </c>
      <c r="D30" s="14">
        <v>137113.29999999999</v>
      </c>
      <c r="E30" s="14">
        <v>6656.5</v>
      </c>
      <c r="F30" s="14">
        <v>45997.2</v>
      </c>
      <c r="G30" s="14">
        <v>348698.1</v>
      </c>
      <c r="H30" s="14">
        <v>476016.7</v>
      </c>
      <c r="I30" s="14" t="s">
        <v>99</v>
      </c>
      <c r="J30" s="14" t="s">
        <v>99</v>
      </c>
      <c r="K30" s="14" t="s">
        <v>99</v>
      </c>
      <c r="L30" s="14" t="s">
        <v>99</v>
      </c>
      <c r="M30" s="14">
        <v>190389.3</v>
      </c>
      <c r="N30" s="14">
        <v>84660.1</v>
      </c>
      <c r="O30" s="14" t="s">
        <v>99</v>
      </c>
      <c r="P30" s="14">
        <v>149461</v>
      </c>
      <c r="Q30" s="16">
        <v>31540.2</v>
      </c>
    </row>
    <row r="31" spans="1:17" ht="30" customHeight="1">
      <c r="A31" s="206" t="s">
        <v>252</v>
      </c>
      <c r="B31" s="14" t="s">
        <v>99</v>
      </c>
      <c r="C31" s="14">
        <v>604181.80000000005</v>
      </c>
      <c r="D31" s="14">
        <v>62925.8</v>
      </c>
      <c r="E31" s="14">
        <v>29244.799999999999</v>
      </c>
      <c r="F31" s="14">
        <v>282658.7</v>
      </c>
      <c r="G31" s="14">
        <v>721942.4</v>
      </c>
      <c r="H31" s="14">
        <v>1201318.3</v>
      </c>
      <c r="I31" s="14" t="s">
        <v>99</v>
      </c>
      <c r="J31" s="14" t="s">
        <v>99</v>
      </c>
      <c r="K31" s="14" t="s">
        <v>99</v>
      </c>
      <c r="L31" s="14">
        <v>261886.8</v>
      </c>
      <c r="M31" s="14">
        <v>834869.2</v>
      </c>
      <c r="N31" s="14">
        <v>208360.9</v>
      </c>
      <c r="O31" s="14">
        <v>245728.3</v>
      </c>
      <c r="P31" s="14">
        <v>481383</v>
      </c>
      <c r="Q31" s="16">
        <v>124265.7</v>
      </c>
    </row>
    <row r="32" spans="1:17">
      <c r="A32" s="228"/>
      <c r="B32" s="120"/>
      <c r="C32" s="120"/>
      <c r="D32" s="120"/>
      <c r="E32" s="120"/>
      <c r="F32" s="120"/>
      <c r="G32" s="120"/>
      <c r="H32" s="120"/>
      <c r="I32" s="120"/>
      <c r="J32" s="120"/>
      <c r="K32" s="120"/>
      <c r="L32" s="120"/>
      <c r="M32" s="120"/>
      <c r="N32" s="120"/>
      <c r="O32" s="120"/>
      <c r="P32" s="158"/>
      <c r="Q32" s="121"/>
    </row>
    <row r="33" spans="1:17" s="178" customFormat="1" ht="28.5" customHeight="1">
      <c r="A33" s="271" t="s">
        <v>243</v>
      </c>
      <c r="B33" s="315"/>
      <c r="C33" s="315"/>
      <c r="D33" s="315"/>
      <c r="E33" s="315"/>
      <c r="F33" s="315"/>
      <c r="G33" s="315"/>
      <c r="H33" s="315"/>
      <c r="I33" s="315"/>
      <c r="J33" s="315"/>
      <c r="K33" s="315"/>
      <c r="L33" s="315"/>
      <c r="M33" s="315"/>
      <c r="N33" s="315"/>
      <c r="O33" s="315"/>
      <c r="P33" s="315"/>
      <c r="Q33" s="315"/>
    </row>
  </sheetData>
  <mergeCells count="4">
    <mergeCell ref="B18:Q18"/>
    <mergeCell ref="B4:Q4"/>
    <mergeCell ref="A2:Q2"/>
    <mergeCell ref="A33:Q33"/>
  </mergeCells>
  <pageMargins left="0.39370078740157483" right="0.39370078740157483" top="0.59055118110236227" bottom="0.59055118110236227" header="0.31496062992125984" footer="0.31496062992125984"/>
  <pageSetup paperSize="9" scale="48" fitToHeight="0" orientation="landscape" r:id="rId1"/>
  <headerFooter>
    <oddFooter>&amp;C&amp;9Strona &amp;P z &amp;N</oddFooter>
  </headerFooter>
  <rowBreaks count="1" manualBreakCount="1">
    <brk id="17" max="16" man="1"/>
  </rowBreaks>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BEB7090D5ED8B4AADA9FC396769AC9B" ma:contentTypeVersion="" ma:contentTypeDescription="" ma:contentTypeScope="" ma:versionID="6bc347668491c2bd9b5b9ebe793d10d9">
  <xsd:schema xmlns:xsd="http://www.w3.org/2001/XMLSchema" xmlns:xs="http://www.w3.org/2001/XMLSchema" xmlns:p="http://schemas.microsoft.com/office/2006/metadata/properties" xmlns:ns1="http://schemas.microsoft.com/sharepoint/v3" xmlns:ns2="9070EBFB-EDD5-4A8B-ADA9-FC396769AC9B" targetNamespace="http://schemas.microsoft.com/office/2006/metadata/properties" ma:root="true" ma:fieldsID="14bc6af8e0d4c36dc6f6478fae101c15" ns1:_="" ns2:_="">
    <xsd:import namespace="http://schemas.microsoft.com/sharepoint/v3"/>
    <xsd:import namespace="9070EBFB-EDD5-4A8B-ADA9-FC396769AC9B"/>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070EBFB-EDD5-4A8B-ADA9-FC396769AC9B"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0x00FBEB7090D5ED8B4AADA9FC396769AC9B</ContentTypeId>
    <TemplateUrl xmlns="http://schemas.microsoft.com/sharepoint/v3" xsi:nil="true"/>
    <Odbiorcy2 xmlns="9070EBFB-EDD5-4A8B-ADA9-FC396769AC9B" xsi:nil="true"/>
    <Osoba xmlns="9070EBFB-EDD5-4A8B-ADA9-FC396769AC9B">STAT\KURLEJZ</Osoba>
    <_SourceUrl xmlns="http://schemas.microsoft.com/sharepoint/v3" xsi:nil="true"/>
    <NazwaPliku xmlns="9070EBFB-EDD5-4A8B-ADA9-FC396769AC9B">Produkcja budowlano-montażowa w 2018 r.xlsx.xlsx</NazwaPliku>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26E661E0-5E61-470A-98F9-CCED61ED90AD}"/>
</file>

<file path=customXml/itemProps2.xml><?xml version="1.0" encoding="utf-8"?>
<ds:datastoreItem xmlns:ds="http://schemas.openxmlformats.org/officeDocument/2006/customXml" ds:itemID="{48BA4478-A6E2-44FB-AFB4-5B290588A4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23</vt:i4>
      </vt:variant>
    </vt:vector>
  </HeadingPairs>
  <TitlesOfParts>
    <vt:vector size="35" baseType="lpstr">
      <vt:lpstr>spis treści</vt:lpstr>
      <vt:lpstr>1</vt:lpstr>
      <vt:lpstr>2</vt:lpstr>
      <vt:lpstr>3</vt:lpstr>
      <vt:lpstr>4</vt:lpstr>
      <vt:lpstr>5</vt:lpstr>
      <vt:lpstr>6</vt:lpstr>
      <vt:lpstr>7</vt:lpstr>
      <vt:lpstr>8</vt:lpstr>
      <vt:lpstr>9</vt:lpstr>
      <vt:lpstr>10</vt:lpstr>
      <vt:lpstr>11</vt:lpstr>
      <vt:lpstr>'1'!Obszar_wydruku</vt:lpstr>
      <vt:lpstr>'10'!Obszar_wydruku</vt:lpstr>
      <vt:lpstr>'11'!Obszar_wydruku</vt:lpstr>
      <vt:lpstr>'2'!Obszar_wydruku</vt:lpstr>
      <vt:lpstr>'3'!Obszar_wydruku</vt:lpstr>
      <vt:lpstr>'4'!Obszar_wydruku</vt:lpstr>
      <vt:lpstr>'5'!Obszar_wydruku</vt:lpstr>
      <vt:lpstr>'6'!Obszar_wydruku</vt:lpstr>
      <vt:lpstr>'7'!Obszar_wydruku</vt:lpstr>
      <vt:lpstr>'8'!Obszar_wydruku</vt:lpstr>
      <vt:lpstr>'9'!Obszar_wydruku</vt:lpstr>
      <vt:lpstr>'spis treści'!Obszar_wydruku</vt:lpstr>
      <vt:lpstr>'1'!Tytuły_wydruku</vt:lpstr>
      <vt:lpstr>'10'!Tytuły_wydruku</vt:lpstr>
      <vt:lpstr>'11'!Tytuły_wydruku</vt:lpstr>
      <vt:lpstr>'2'!Tytuły_wydruku</vt:lpstr>
      <vt:lpstr>'3'!Tytuły_wydruku</vt:lpstr>
      <vt:lpstr>'4'!Tytuły_wydruku</vt:lpstr>
      <vt:lpstr>'5'!Tytuły_wydruku</vt:lpstr>
      <vt:lpstr>'6'!Tytuły_wydruku</vt:lpstr>
      <vt:lpstr>'7'!Tytuły_wydruku</vt:lpstr>
      <vt:lpstr>'8'!Tytuły_wydruku</vt:lpstr>
      <vt:lpstr>'9'!Tytuły_wydruku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budowlano-montażowa w 2018 roku</dc:title>
  <cp:lastPrinted>2019-10-08T11:09:33Z</cp:lastPrinted>
  <dcterms:created xsi:type="dcterms:W3CDTF">2018-08-03T11:41:31Z</dcterms:created>
  <dcterms:modified xsi:type="dcterms:W3CDTF">2019-10-10T12:27:55Z</dcterms:modified>
</cp:coreProperties>
</file>