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lewikj\AppData\Local\Microsoft\Windows\INetCache\Content.Outlook\01HEDJCD\"/>
    </mc:Choice>
  </mc:AlternateContent>
  <bookViews>
    <workbookView xWindow="0" yWindow="0" windowWidth="20940" windowHeight="10065" tabRatio="729"/>
  </bookViews>
  <sheets>
    <sheet name="spis treści" sheetId="19" r:id="rId1"/>
    <sheet name="1" sheetId="1" r:id="rId2"/>
    <sheet name="2" sheetId="2" r:id="rId3"/>
    <sheet name="3" sheetId="3" r:id="rId4"/>
    <sheet name="4" sheetId="4" r:id="rId5"/>
    <sheet name="5" sheetId="17" r:id="rId6"/>
    <sheet name="6" sheetId="27" r:id="rId7"/>
    <sheet name="7" sheetId="28" r:id="rId8"/>
    <sheet name="8 " sheetId="29" r:id="rId9"/>
    <sheet name="9" sheetId="30" r:id="rId10"/>
    <sheet name="10" sheetId="12" r:id="rId11"/>
    <sheet name="11" sheetId="13" r:id="rId12"/>
    <sheet name="12" sheetId="26" r:id="rId13"/>
  </sheets>
  <definedNames>
    <definedName name="_xlnm._FilterDatabase" localSheetId="12" hidden="1">'12'!$A$5:$WVN$136</definedName>
    <definedName name="_xlnm._FilterDatabase" localSheetId="5" hidden="1">'5'!$A$7:$I$91</definedName>
    <definedName name="_xlnm.Print_Titles" localSheetId="1">'1'!$A:$A</definedName>
    <definedName name="_xlnm.Print_Titles" localSheetId="12">'12'!$2:$5</definedName>
    <definedName name="_xlnm.Print_Titles" localSheetId="3">'3'!$A:$A</definedName>
    <definedName name="_xlnm.Print_Titles" localSheetId="4">'4'!$A:$A</definedName>
    <definedName name="_xlnm.Print_Titles" localSheetId="5">'5'!$A:$A,'5'!$2:$6</definedName>
    <definedName name="_xlnm.Print_Titles" localSheetId="6">'6'!$2:$6</definedName>
    <definedName name="_xlnm.Print_Titles" localSheetId="7">'7'!$A:$A,'7'!$2:$5</definedName>
    <definedName name="_xlnm.Print_Titles" localSheetId="8">'8 '!$2:$6</definedName>
    <definedName name="_xlnm.Print_Titles" localSheetId="9">'9'!$2:$4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28" l="1"/>
  <c r="D9" i="28"/>
  <c r="E9" i="28"/>
  <c r="F9" i="28"/>
  <c r="G9" i="28"/>
  <c r="H9" i="28"/>
  <c r="I9" i="28"/>
  <c r="J9" i="28"/>
  <c r="K9" i="28"/>
  <c r="L9" i="28"/>
  <c r="M9" i="28"/>
  <c r="N9" i="28"/>
  <c r="O9" i="28"/>
  <c r="P9" i="28"/>
  <c r="Q9" i="28"/>
  <c r="B9" i="28"/>
  <c r="I62" i="28"/>
  <c r="G62" i="28"/>
  <c r="C62" i="28"/>
  <c r="D62" i="28"/>
  <c r="E62" i="28"/>
  <c r="F62" i="28"/>
  <c r="H62" i="28"/>
  <c r="J62" i="28"/>
  <c r="K62" i="28"/>
  <c r="L62" i="28"/>
  <c r="M62" i="28"/>
  <c r="N62" i="28"/>
  <c r="O62" i="28"/>
  <c r="P62" i="28"/>
  <c r="Q62" i="28"/>
  <c r="B62" i="28"/>
  <c r="C9" i="27"/>
  <c r="D9" i="27"/>
  <c r="E9" i="27"/>
  <c r="F9" i="27"/>
  <c r="G9" i="27"/>
  <c r="H9" i="27"/>
  <c r="I9" i="27"/>
  <c r="J9" i="27"/>
  <c r="K9" i="27"/>
  <c r="B9" i="27"/>
  <c r="E91" i="17" l="1"/>
  <c r="E88" i="17"/>
  <c r="E87" i="17"/>
  <c r="E86" i="17"/>
  <c r="E83" i="17"/>
  <c r="E82" i="17"/>
  <c r="E81" i="17"/>
  <c r="E78" i="17"/>
  <c r="E77" i="17"/>
  <c r="E76" i="17"/>
  <c r="E73" i="17"/>
  <c r="E71" i="17"/>
  <c r="E70" i="17"/>
  <c r="E68" i="17"/>
  <c r="E67" i="17"/>
  <c r="E66" i="17"/>
  <c r="E63" i="17"/>
  <c r="E62" i="17"/>
  <c r="E61" i="17"/>
  <c r="E58" i="17"/>
  <c r="E57" i="17"/>
  <c r="E56" i="17"/>
  <c r="E55" i="17"/>
  <c r="E53" i="17"/>
  <c r="E52" i="17"/>
  <c r="E51" i="17"/>
  <c r="E48" i="17"/>
  <c r="E47" i="17"/>
  <c r="E43" i="17"/>
  <c r="E42" i="17"/>
  <c r="E41" i="17"/>
  <c r="E39" i="17"/>
  <c r="E38" i="17"/>
  <c r="E37" i="17"/>
  <c r="E36" i="17"/>
  <c r="E35" i="17"/>
  <c r="E34" i="17"/>
  <c r="E33" i="17"/>
  <c r="E32" i="17"/>
  <c r="E31" i="17"/>
  <c r="E30" i="17"/>
  <c r="E28" i="17"/>
  <c r="E27" i="17"/>
  <c r="E26" i="17"/>
  <c r="E24" i="17"/>
  <c r="E23" i="17"/>
  <c r="E22" i="17"/>
  <c r="E21" i="17"/>
  <c r="E19" i="17"/>
  <c r="E18" i="17"/>
  <c r="E17" i="17"/>
  <c r="E16" i="17"/>
  <c r="E15" i="17"/>
  <c r="E14" i="17"/>
  <c r="E13" i="17"/>
  <c r="E12" i="17"/>
  <c r="F91" i="17"/>
  <c r="F88" i="17"/>
  <c r="F87" i="17"/>
  <c r="F86" i="17"/>
  <c r="F83" i="17"/>
  <c r="F82" i="17"/>
  <c r="F81" i="17"/>
  <c r="F78" i="17"/>
  <c r="F77" i="17"/>
  <c r="F76" i="17"/>
  <c r="F73" i="17"/>
  <c r="F71" i="17"/>
  <c r="F70" i="17"/>
  <c r="F68" i="17"/>
  <c r="F67" i="17"/>
  <c r="F66" i="17"/>
  <c r="F63" i="17"/>
  <c r="F62" i="17"/>
  <c r="F61" i="17"/>
  <c r="F58" i="17"/>
  <c r="F57" i="17"/>
  <c r="F56" i="17"/>
  <c r="F53" i="17"/>
  <c r="F52" i="17"/>
  <c r="F51" i="17"/>
  <c r="F48" i="17"/>
  <c r="F47" i="17"/>
  <c r="F43" i="17"/>
  <c r="F42" i="17"/>
  <c r="F41" i="17"/>
  <c r="F39" i="17"/>
  <c r="F38" i="17"/>
  <c r="F37" i="17"/>
  <c r="F36" i="17"/>
  <c r="F35" i="17"/>
  <c r="F33" i="17"/>
  <c r="F32" i="17"/>
  <c r="F31" i="17"/>
  <c r="F30" i="17"/>
  <c r="F28" i="17"/>
  <c r="F27" i="17"/>
  <c r="F26" i="17"/>
  <c r="F24" i="17"/>
  <c r="F23" i="17"/>
  <c r="F22" i="17"/>
  <c r="F21" i="17"/>
  <c r="F19" i="17"/>
  <c r="F18" i="17"/>
  <c r="F17" i="17"/>
  <c r="F16" i="17"/>
  <c r="F14" i="17"/>
  <c r="F13" i="17"/>
  <c r="D77" i="17"/>
  <c r="D76" i="17"/>
  <c r="D72" i="17"/>
  <c r="D67" i="17"/>
  <c r="D66" i="17"/>
  <c r="D62" i="17"/>
  <c r="D61" i="17"/>
  <c r="D57" i="17"/>
  <c r="D56" i="17"/>
  <c r="D53" i="17"/>
  <c r="D52" i="17"/>
  <c r="D51" i="17"/>
  <c r="D47" i="17"/>
  <c r="D46" i="17"/>
  <c r="D45" i="17"/>
  <c r="D42" i="17"/>
  <c r="D40" i="17"/>
  <c r="D37" i="17"/>
  <c r="D36" i="17"/>
  <c r="D34" i="17"/>
  <c r="D32" i="17"/>
  <c r="D30" i="17"/>
  <c r="D28" i="17"/>
  <c r="D27" i="17"/>
  <c r="D26" i="17"/>
  <c r="D23" i="17"/>
  <c r="D22" i="17"/>
  <c r="D21" i="17"/>
  <c r="D20" i="17"/>
  <c r="D18" i="17"/>
  <c r="D17" i="17"/>
  <c r="D15" i="17"/>
  <c r="D13" i="17"/>
  <c r="D12" i="17"/>
  <c r="D78" i="17"/>
  <c r="D82" i="17"/>
  <c r="D87" i="17"/>
  <c r="C87" i="17"/>
  <c r="C82" i="17"/>
  <c r="C77" i="17"/>
  <c r="C76" i="17"/>
  <c r="C72" i="17"/>
  <c r="C67" i="17"/>
  <c r="C66" i="17"/>
  <c r="C62" i="17"/>
  <c r="C61" i="17"/>
  <c r="C57" i="17"/>
  <c r="C56" i="17"/>
  <c r="C53" i="17"/>
  <c r="C52" i="17"/>
  <c r="C51" i="17"/>
  <c r="C47" i="17"/>
  <c r="C46" i="17"/>
  <c r="C45" i="17"/>
  <c r="C44" i="17"/>
  <c r="C42" i="17"/>
  <c r="C40" i="17"/>
  <c r="C37" i="17"/>
  <c r="C36" i="17"/>
  <c r="C35" i="17"/>
  <c r="C34" i="17"/>
  <c r="C32" i="17"/>
  <c r="C30" i="17"/>
  <c r="C28" i="17"/>
  <c r="C27" i="17"/>
  <c r="C26" i="17"/>
  <c r="C23" i="17"/>
  <c r="C22" i="17"/>
  <c r="C21" i="17"/>
  <c r="C20" i="17"/>
  <c r="C18" i="17"/>
  <c r="C17" i="17"/>
  <c r="C13" i="17"/>
  <c r="C12" i="17"/>
</calcChain>
</file>

<file path=xl/sharedStrings.xml><?xml version="1.0" encoding="utf-8"?>
<sst xmlns="http://schemas.openxmlformats.org/spreadsheetml/2006/main" count="1056" uniqueCount="358">
  <si>
    <t>OGÓŁEM</t>
  </si>
  <si>
    <t>a</t>
  </si>
  <si>
    <t>b</t>
  </si>
  <si>
    <t>.</t>
  </si>
  <si>
    <t xml:space="preserve">      w  tym:</t>
  </si>
  <si>
    <t xml:space="preserve">     of which:</t>
  </si>
  <si>
    <t>Podmioty budowlane</t>
  </si>
  <si>
    <t>Roboty budowlane specjalistyczne</t>
  </si>
  <si>
    <t>Sektor publiczny</t>
  </si>
  <si>
    <t>Sektor prywatny</t>
  </si>
  <si>
    <t>P O L S K A</t>
  </si>
  <si>
    <t>P O L A N D</t>
  </si>
  <si>
    <t>Mazowieckie</t>
  </si>
  <si>
    <t>Opolskie</t>
  </si>
  <si>
    <t>Podkarpackie</t>
  </si>
  <si>
    <t>Podlaskie</t>
  </si>
  <si>
    <t>Pomorskie</t>
  </si>
  <si>
    <t>Śląskie</t>
  </si>
  <si>
    <t>Świętokrzyskie</t>
  </si>
  <si>
    <t>Warmińsko-mazurskie</t>
  </si>
  <si>
    <t>Wielkopolskie</t>
  </si>
  <si>
    <t>2005=100</t>
  </si>
  <si>
    <t>2010=100</t>
  </si>
  <si>
    <t>O G Ó Ł E M</t>
  </si>
  <si>
    <t>T O T A L</t>
  </si>
  <si>
    <t>Construction of buildings</t>
  </si>
  <si>
    <t>Civil engineering works</t>
  </si>
  <si>
    <t xml:space="preserve"> Kujawsko-pomorskie</t>
  </si>
  <si>
    <t xml:space="preserve"> Lubelskie</t>
  </si>
  <si>
    <t xml:space="preserve"> Lubuskie</t>
  </si>
  <si>
    <t xml:space="preserve"> Łódzkie</t>
  </si>
  <si>
    <t>Zachodnio-pomorskie</t>
  </si>
  <si>
    <t xml:space="preserve"> Dolnośląskie </t>
  </si>
  <si>
    <t xml:space="preserve"> Lubelskie </t>
  </si>
  <si>
    <t xml:space="preserve"> Lubuskie </t>
  </si>
  <si>
    <t xml:space="preserve"> Łódzkie </t>
  </si>
  <si>
    <t xml:space="preserve"> Małopolskie</t>
  </si>
  <si>
    <t xml:space="preserve"> Mazowieckie</t>
  </si>
  <si>
    <t xml:space="preserve"> Opolskie</t>
  </si>
  <si>
    <t xml:space="preserve"> Podkarpackie</t>
  </si>
  <si>
    <t xml:space="preserve"> Podlaskie</t>
  </si>
  <si>
    <t xml:space="preserve"> Pomorskie </t>
  </si>
  <si>
    <t xml:space="preserve"> Śląskie </t>
  </si>
  <si>
    <t xml:space="preserve"> Świętokrzyskie </t>
  </si>
  <si>
    <t xml:space="preserve"> Warmińsko-mazurskie </t>
  </si>
  <si>
    <t xml:space="preserve"> Wielkopolskie </t>
  </si>
  <si>
    <t xml:space="preserve"> Zachodniopomorskie</t>
  </si>
  <si>
    <t xml:space="preserve">O G Ó Ł E M </t>
  </si>
  <si>
    <t>development of building projects</t>
  </si>
  <si>
    <t>construction of roads and railways</t>
  </si>
  <si>
    <t>construction of utility projects</t>
  </si>
  <si>
    <t>Specialised construction activities</t>
  </si>
  <si>
    <t>demolition and site preparation</t>
  </si>
  <si>
    <t>building completion and finishing</t>
  </si>
  <si>
    <t xml:space="preserve">Sektor publiczny </t>
  </si>
  <si>
    <t>Public sector</t>
  </si>
  <si>
    <t>Private sector</t>
  </si>
  <si>
    <t xml:space="preserve"> Dolnośląskie</t>
  </si>
  <si>
    <t>Budynki mieszkalne</t>
  </si>
  <si>
    <t>Budynki jednorodzinne</t>
  </si>
  <si>
    <t>Budynki zbiorowego zamieszkania</t>
  </si>
  <si>
    <t>Budynki niemieszkalne</t>
  </si>
  <si>
    <t>Budynki biurowe</t>
  </si>
  <si>
    <t>Budynki handlowo-usługowe</t>
  </si>
  <si>
    <t xml:space="preserve">Budynki transportu i łączności </t>
  </si>
  <si>
    <t>Budynki przemysłowe i magazynowe</t>
  </si>
  <si>
    <t>Pozostałe budynki niemieszkalne</t>
  </si>
  <si>
    <t>Obiekty inżynierii lądowej i wodnej</t>
  </si>
  <si>
    <t>Drogi lotniskowe</t>
  </si>
  <si>
    <t>Budowle wodne</t>
  </si>
  <si>
    <t xml:space="preserve">     w tym oczyszczalnie wód i ścieków</t>
  </si>
  <si>
    <t>Budowle sportowe i rekreacyjne</t>
  </si>
  <si>
    <t>Civil engineering</t>
  </si>
  <si>
    <t xml:space="preserve">Roboty budowlane specjalistyczne </t>
  </si>
  <si>
    <t xml:space="preserve">K R A J E </t>
  </si>
  <si>
    <t>C O U N T R I E S</t>
  </si>
  <si>
    <t>Austria</t>
  </si>
  <si>
    <t>Belgia</t>
  </si>
  <si>
    <t>Belgium</t>
  </si>
  <si>
    <t>Bułgaria</t>
  </si>
  <si>
    <t>Bulgaria</t>
  </si>
  <si>
    <t>Czech Republic</t>
  </si>
  <si>
    <t>Dania</t>
  </si>
  <si>
    <t>Denmark</t>
  </si>
  <si>
    <t>Finlandia</t>
  </si>
  <si>
    <t>Finland</t>
  </si>
  <si>
    <t>Francja</t>
  </si>
  <si>
    <t>France</t>
  </si>
  <si>
    <t>Hiszpania</t>
  </si>
  <si>
    <t>Spain</t>
  </si>
  <si>
    <t>Holandia</t>
  </si>
  <si>
    <t>Netherlands</t>
  </si>
  <si>
    <t>Irlandia</t>
  </si>
  <si>
    <t>Ireland</t>
  </si>
  <si>
    <t>Islandia</t>
  </si>
  <si>
    <t>Iceland</t>
  </si>
  <si>
    <t>Litwa</t>
  </si>
  <si>
    <t>Lithuania</t>
  </si>
  <si>
    <t>Luksemburg</t>
  </si>
  <si>
    <t>Luxembourg</t>
  </si>
  <si>
    <t>Łotwa</t>
  </si>
  <si>
    <t>Latvia</t>
  </si>
  <si>
    <t>Niemcy</t>
  </si>
  <si>
    <t>Germany</t>
  </si>
  <si>
    <t>Norwegia</t>
  </si>
  <si>
    <t>Norway</t>
  </si>
  <si>
    <t>Rumunia</t>
  </si>
  <si>
    <t>Romania</t>
  </si>
  <si>
    <t>Słowacja</t>
  </si>
  <si>
    <t>Slovakia</t>
  </si>
  <si>
    <t>Stany Zjednoczone</t>
  </si>
  <si>
    <t>United States</t>
  </si>
  <si>
    <t>Szwajcaria</t>
  </si>
  <si>
    <t>Switzerland</t>
  </si>
  <si>
    <t>Szwecja</t>
  </si>
  <si>
    <t>Sweden</t>
  </si>
  <si>
    <t>Turcja</t>
  </si>
  <si>
    <t>Turkey</t>
  </si>
  <si>
    <t>Węgry</t>
  </si>
  <si>
    <t>Hungary</t>
  </si>
  <si>
    <t>Wielka Brytania</t>
  </si>
  <si>
    <t>Great Britain</t>
  </si>
  <si>
    <t>Włochy</t>
  </si>
  <si>
    <t>Italy</t>
  </si>
  <si>
    <t>Jednostki budowlane</t>
  </si>
  <si>
    <t>Construction entities</t>
  </si>
  <si>
    <t>Jednostki niebudowlane</t>
  </si>
  <si>
    <t>Non-construction entities</t>
  </si>
  <si>
    <t>POLSKA</t>
  </si>
  <si>
    <t xml:space="preserve">Dolnośląskie  </t>
  </si>
  <si>
    <t xml:space="preserve">Kujawsko-pomorskie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</si>
  <si>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</si>
  <si>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</si>
  <si>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</si>
  <si>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</si>
  <si>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</si>
  <si>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</si>
  <si>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</si>
  <si>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</si>
  <si>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</si>
  <si>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</si>
  <si>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</si>
  <si>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</si>
  <si>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</si>
  <si>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</si>
  <si>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t>
  </si>
  <si>
    <t>2015=100</t>
  </si>
  <si>
    <t>DOLNOŚLĄSKIE</t>
  </si>
  <si>
    <t>-</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</si>
  <si>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</si>
  <si>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</si>
  <si>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</si>
  <si>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</si>
  <si>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</si>
  <si>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</si>
  <si>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</si>
  <si>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</si>
  <si>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</si>
  <si>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</si>
  <si>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</si>
  <si>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</si>
  <si>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</si>
  <si>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</si>
  <si>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</si>
  <si>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Republika Czeska</t>
  </si>
  <si>
    <t>Ukraina</t>
  </si>
  <si>
    <t>541</t>
  </si>
  <si>
    <t>1049</t>
  </si>
  <si>
    <t>Pozostałe kraje: Belgia, Dania, Finlandia, Francja, Irlandia, Niemcy, Republika Czeska, Słowacja, Szwajcaria, Szwecja, Ukraina, Włochy</t>
  </si>
  <si>
    <t>3371</t>
  </si>
  <si>
    <t>Pozostałe kraje: Brazylia, Chile, Dania, Finlandia, Hiszpania, Irlandia, Islandia, Litwa, Łotwa, Maroko, Mołdawia, Pakistan, Republika Czeska, Rosja, Rumunia, Stany Zjednoczone, Szwajcaria, Szwecja, Turcja, Ukraina, Węgry, Wielka Brytania, Włochy</t>
  </si>
  <si>
    <t>Pozostałe kraje: Austria, Belgia, Dania, Francja, Republika Czeska, Rumunia, Szwecja, Turcja, Węgry, Wielka Brytania</t>
  </si>
  <si>
    <t>Pozostałe kraje: Belgia, Dania, Finlandia, Francja, Norwegia, Szwecja, Wielka Brytania, Włochy</t>
  </si>
  <si>
    <t>Pozostałe kraje: Austria, Dania, Grecja, Litwa, Luksemburg, Norwegia, Republika Czeska, Rosja, Szwecja, Wielka Brytania, Włochy</t>
  </si>
  <si>
    <t>Roboty budowlane związane ze wznoszeniem budynków</t>
  </si>
  <si>
    <t>realizacja projektów budowlanych związanych ze wznoszeniem budynków</t>
  </si>
  <si>
    <t>roboty budowlane związane ze wznoszeniem budynków mieszkalnych i niemieszkalnych</t>
  </si>
  <si>
    <t>Roboty związane z budową obiektów inżynierii lądowej i wodnej</t>
  </si>
  <si>
    <t xml:space="preserve">roboty związane z budową dróg kołowych i szynowych           </t>
  </si>
  <si>
    <t>roboty związane z budową rurociągów, linii telekomunikacyjnych
i elektroenergetycznych</t>
  </si>
  <si>
    <t>roboty związane z budową pozostałych obiektów inżynierii lądowej i wodnej</t>
  </si>
  <si>
    <t>construction of other civil engineering projects</t>
  </si>
  <si>
    <t>rozbiórka i przygotowanie terenu pod budowę</t>
  </si>
  <si>
    <t xml:space="preserve">wykonywanie instalacji elektrycznych, wodno-kanalizacyjnych                  i pozostałych instalacji budowlanych      </t>
  </si>
  <si>
    <t>electrical, plumbing and other construction installation activities</t>
  </si>
  <si>
    <t xml:space="preserve">wykonywanie robót budowlanych wykończeniowych </t>
  </si>
  <si>
    <t xml:space="preserve">pozostałe specjalistyczne roboty budowlane  </t>
  </si>
  <si>
    <t>other specialised construction activities</t>
  </si>
  <si>
    <t>construction of residential and non residential buildings</t>
  </si>
  <si>
    <t xml:space="preserve">  </t>
  </si>
  <si>
    <t>Arabia Saudyjska</t>
  </si>
  <si>
    <t># dane nie mogą być opublikowane ze względu na konieczność zachowania tajemnicy statystycznej</t>
  </si>
  <si>
    <t xml:space="preserve">Budynki o dwóch mieszkaniach i wielomieszkaniowe  </t>
  </si>
  <si>
    <t>Hotele i budynki zakwaterowania turystycznego</t>
  </si>
  <si>
    <t>Ogólnodostępne obiekty kulturalne, budynki o charakterze edukacyjnym, budynki szpitali i zakładów opieki medycznej oraz budynki kultury fizycznej</t>
  </si>
  <si>
    <t xml:space="preserve">Autostrady, drogi ekspresowe, ulice i drogi pozostałe </t>
  </si>
  <si>
    <t xml:space="preserve">Drogi szynowe, drogi kolei napowietrznych lub podwieszanych </t>
  </si>
  <si>
    <t>Mosty, wiadukty i estakady, tunele i przejścia nadziemne i podziemne</t>
  </si>
  <si>
    <t>Budynki o dwóch mieszkaniach i wielomieszkaniowe</t>
  </si>
  <si>
    <t>Drogi szynowe, drogi kolei napowietrznych lub podwieszanych</t>
  </si>
  <si>
    <t>Rurociągi i linie telekomunikacyjne oraz linie elektroenergetyczne przesyłowe</t>
  </si>
  <si>
    <t>Rurociągi sieci rozdzielczej i linie kablowe rozdzielcze</t>
  </si>
  <si>
    <t>Kompleksowe budowle na terenach przemysłowych</t>
  </si>
  <si>
    <t xml:space="preserve">Obiekty pozostałe, gdzie indziej niesklasyfikowane </t>
  </si>
  <si>
    <t>Saudi Arabia</t>
  </si>
  <si>
    <t>Ukraine</t>
  </si>
  <si>
    <t>Budynki</t>
  </si>
  <si>
    <t>Residential buildings</t>
  </si>
  <si>
    <t>Buildings</t>
  </si>
  <si>
    <t>One-dwelling buildings</t>
  </si>
  <si>
    <t>Two and more dwelling buildings</t>
  </si>
  <si>
    <t>Residences for communities</t>
  </si>
  <si>
    <t>Non-residential buildings</t>
  </si>
  <si>
    <t>Hotels and similar buildings</t>
  </si>
  <si>
    <t>Office buildings</t>
  </si>
  <si>
    <t>Wholesale and retail trade buildings</t>
  </si>
  <si>
    <t>Traffic and communication buildings</t>
  </si>
  <si>
    <t>Industrial buildings and warehouses</t>
  </si>
  <si>
    <t>Buildings for public entertainment, education, hospital  or institutional care and sport halls</t>
  </si>
  <si>
    <t>Other non-residential buildings</t>
  </si>
  <si>
    <t>Railways, suspension and elevated</t>
  </si>
  <si>
    <t>Highways, streets and roads railways</t>
  </si>
  <si>
    <t>Airfield runways</t>
  </si>
  <si>
    <t>Bridges, elevated highways, tunnels and subways</t>
  </si>
  <si>
    <t>Harbours, waterways, dams  and other waterworks</t>
  </si>
  <si>
    <t>Long-distance pipelines, communication and electricity power lines</t>
  </si>
  <si>
    <t>Local pipelines and cables</t>
  </si>
  <si>
    <t>Complex constructions on industrial sites</t>
  </si>
  <si>
    <t>Sport and recreations constructions</t>
  </si>
  <si>
    <t>Other civil engineering works  not elsewhere classified</t>
  </si>
  <si>
    <t xml:space="preserve">    of which waste water treatment plants</t>
  </si>
  <si>
    <t>Other civil engineering works not elsewhere classified</t>
  </si>
  <si>
    <t>Other countries: Afghanistan, Denmark, Spain, Ireland, Lithuania, Latvia, Netherlands, Czech Republic, Switzerland, Sweden, Italy</t>
  </si>
  <si>
    <t xml:space="preserve">Belgium, </t>
  </si>
  <si>
    <t>Other countries: Belgium, Chile, Finland, France, Kenya, Lithuania, Mexico, Netherlands, Norway, Czech Republic, Slovakia, Slovenia, Switzerland, Sweden, Hungary, Great Britain</t>
  </si>
  <si>
    <t>Other countries: Belgium, Denmark, Finland, France, Georgia, Lithuania, Latvia, Netherlands, Russia, Great Britain, Italy</t>
  </si>
  <si>
    <t>Other countries: Austria, Belgium, Denmark, Finland, Iceland, Qatar, Lithuania, Netherlands, Czech Republic, Sweden, Great Britain</t>
  </si>
  <si>
    <t>Other countries: Belgium, Denmark, Finland, France, Ireland, Germany, Czech Republic, Slovakia, Switzerland, Sweden, Ukraine, Italy</t>
  </si>
  <si>
    <t>Other countries: Bosnia and Herzegovina, Bulgaria, Denmark, Finland, Greece, Spain, Ireland, Iceland, Israel, Mexico, South Africa, Romania, Serbia, United States, Switzerland, Sweden, Turkey, Hungary, Italy</t>
  </si>
  <si>
    <t>Other countries: Saudi Arabia, Belarus, Bulgaria, Egypt, Estonia, Spain, Ireland, Iceland, Kazakhstan, Luxembourg, Latvia, Madagascar, New Caledonia, South Africa, Russia, Romania, Serbia, Slovakia, Slovenia, Switzerland, Ukraine, Hungary, Great Britain, Vietnam, Italy, United Arab Emirates</t>
  </si>
  <si>
    <t>Other countries: Austria, Belgium, Croatia, Denmark, Finland, Spain, Ireland, Luxembourg, Netherlands, Norway, Czech Republic, Switzerland, Hungary, Great Britain</t>
  </si>
  <si>
    <t>Other countries: Saudi Arabia, Denmark, Finland, Spain, Canada, Lithuania, Luxembourg, Netherlands, Norway, Czech Republic, United States, Switzerland, Turkey, Hungary, Italy</t>
  </si>
  <si>
    <t>Other countries: Brazil, Chile, Denmark, Finland, Spain, Ireland, Iceland, Lithuania, Latvia, Morocco, Moldova, Pakistan, Czech Republic, Russia, Romania, United States, Switzerland, Sweden, Turkey, Ukraine, Hungary, Great Britain, Italy</t>
  </si>
  <si>
    <t>Other countries: Austria, Belgium, Denmark, France, Czech Republic, Romania, Sweden, Turkey, Hungary, Great Britain</t>
  </si>
  <si>
    <t>Other countries: Belgium, Denmark, Finland, France, Norway, Czech Republic, Romania, Sweden, Turkey, Hungary, Great Britain</t>
  </si>
  <si>
    <t>Other countries: Austria, Denmark, Greece, Lithuania, Luxembourg, Norway, Czech Republic, Russia, Sweden, Great Britain, Italy</t>
  </si>
  <si>
    <t>Other countries: Belgium, Denmark, Latvia, Netherlands, Norway</t>
  </si>
  <si>
    <t>CONSTRUCTION AND ASSEMBLY PRODUCTION REALIZED DOMESTICALLY BY VOIVODSHIPS  ―  ENTERPRISE HEAD OFFICE AND WORK-SITE LOCATION BY CONSTRUCTION ENTITES WITH MORE THAN 9 PERSONS EMPLOYED IN YEARS 2013-2017</t>
  </si>
  <si>
    <t>PRICE INDICES OF CONSTRUCTION AND ASSEMBLY PRODUCTION</t>
  </si>
  <si>
    <t>CONSTRUCTION AND ASSEMBLY PRODUCTION BY ENTERPRISE HEAD OFFICE, BY TYPE OF CONSTRUCTIONS (CLASSIFICATION OF TYPES OF CONSTRUCTION PKOB) BY CONSTRUCTION ENTITES WITH MORE THAN 9 PERSONS EMPLOYED IN YEARS 2013-2017</t>
  </si>
  <si>
    <t>CONSTRUCTION AND ASSEMBLY PRODUCTION BY ENTERPRISE HEAD OFFICE, BY BASIC KIND OF ACTIVITY CONSTRUCTIONS (CLASSIFICATION OF ACTIVITIES 2007 - GROUPS) AND SECTORS BY CONSTRUCTION ENTITES WITH MORE THAN 9 PERSONS EMPLOYED IN YEARS 2013-2017</t>
  </si>
  <si>
    <t>STRUCTURE OF CONSTRUCTION AND ASSEMBLY PRODUCTION COSTS BY CALCULATION BY CONSTRUCTION ENTITES WITH MORE THAN 9 PERSONS EMPLOYED IN 2017</t>
  </si>
  <si>
    <t>CONSTRUCTION AND ASSEMBLY PRODUCTION REALIZED DOMESTICALLY BY CONSTRUCTION ENTITIES BY VOIVODSHIPS ― WORK-SITE LOCATION IN YEARS 2016-2017</t>
  </si>
  <si>
    <t>SPIS TABLIC</t>
  </si>
  <si>
    <t>LIST OF TABLES</t>
  </si>
  <si>
    <t>PRODUKCJA BUDOWLANO-MONTAŻOWA WEDŁUG SIEDZIBY ZARZĄDU PRZEDSIĘBIORSTWA WEDŁUG RODZAJÓW REALIZOWANYCH OBIEKTÓW BUDOWLANYCH (KLASYFIKACJA PKOB) W PRZEDSIĘBIORSTWACH BUDOWLANYCH O LICZBIE PRACUJĄCYCH POWYŻEJ 9 OSÓB W LATACH 2013-2017</t>
  </si>
  <si>
    <t>CONSTRUCTION AND ASSEMBLY PRODUCTION BY VOIVODSHIPS  ―  ENTERPRISE HEAD OFFICE AND WORK-SITE LOCATION BY CONSTRUCTION ENTITES WITH MORE THAN 9 PERSONS EMPLOYED IN 2017</t>
  </si>
  <si>
    <t>PRODUKCJA BUDOWLANO-MONTAŻOWA WEDŁUG SIEDZIBY ZARZĄDU PRZEDSIĘBIORSTWA, WEDŁUG PODSTAWOWEGO RODZAJU DZIAŁALNOŚCI (KLASYFIKACJA - GRUPY PKD 2007), WEDŁUG SEKTORÓW W PRZEDSIĘBIORSTWACH BUDOWLANYCH O LICZBIE PRACUJĄCYCH POWYŻEJ 9 OSÓB W LATACH 2013-2017</t>
  </si>
  <si>
    <t>CONSTRUCTION AND ASSEMBLY PRODUCTION BY VOIVODSHIPS ― ENTERPRISE HEAD OFFICE AND WORK-SITE LOCATION BY CONSTRUCTION ENTITES WITH MORE THAN 9 PERSONS EMPLOYED IN 2017</t>
  </si>
  <si>
    <t>CONSTRUCTION AND ASSEMBLY PRODUCTION BY VOIVODSHIPS ― ENTERPRISE HEAD OFFICE AND WORK-SITE LOCATION BY CONSTRUCTION ENTITES WITH MORE THAN 9 PERSONS EMPLOYED IN YEARS 2013-2017</t>
  </si>
  <si>
    <t>STRUKTURA KOSZTÓW PRODUKCJI BUDOWLANO-MONTAŻOWEJ W UKŁADZIE KALKULACYJNYM W JEDNOSTKACH BUDOWLANYCH O LICZBIE PRACUJĄCYCH POWYŻEJ 9 OSÓB W 2017 R.</t>
  </si>
  <si>
    <t xml:space="preserve">CONSTRUCTION AND ASSEMBLY PRODUCTION REALIZED DOMESTICALLY IN YEARS 2005-2017 </t>
  </si>
  <si>
    <t xml:space="preserve">CONSTRUCTION AND ASSEMBLY PRODUCTION BY VOIVODSHIPS, BY ENTERPRISE HEAD OFFICE, BY TYPE OF CONSTRUCTIONS (CLASSIFICATION OF TYPES OF CONSTRUCTION PKOB) BY CONSTRUCTION ENTITES WITH MORE THAN 9 PERSONS EMPLOYED IN 2017 </t>
  </si>
  <si>
    <t xml:space="preserve">CONSTRUCTION AND ASSEMBLY PRODUCTION BY VOIVODSHIPS, BY ENTERPRISE HEAD OFFICE, BY BASIC KIND OF ACTIVITY CONSTRUCTIONS (CLASSIFICATION OF ACTIVITIES 2007 - GROUPS) BY CONSTRUCTION ENTITES WITH MORE THAN 9 PERSONS EMPLOYED IN 2017 </t>
  </si>
  <si>
    <t>Pozostałe kraje: Belgia, Chile, Finlandia, Francja, Kenia, Litwa, Meksyk, Holandia, Norwegia, Republika Czeska, Słowacja, Słowenia, Szwajcaria, Szwecja, Węgry, Wielka Brytania, Włochy</t>
  </si>
  <si>
    <t>Pozostałe kraje: Belgia, Dania, Finlandia, Francja, Gruzja, Litwa, Łotwa, Holandia, Rosja, Wielka Brytania, Włochy</t>
  </si>
  <si>
    <t>Pozostałe kraje: Austria, Belgia, Dania, Finlandia, Islandia, Katar, Łotwa, Holandia, Republika Czeska, Szwecja, Wielka Brytania</t>
  </si>
  <si>
    <t>Pozostałe kraje: Austria, Belgia, Chorwacja, Dania, Finlandia, Francja, Hiszpania, Irlandia, Luksemburg, Holandia, Norwegia, Republika Czeska, Szwajcaria, Węgry, Wielka Brytania</t>
  </si>
  <si>
    <t>Pozostałe kraje: Afganistan, Dania, Hiszpania, Irlandia, Litwa, Łotwa, Holandia, Republika Czeska, Szwajcaria, Szwecja, Włochy</t>
  </si>
  <si>
    <t>Pozostałe kraje: Arabia Saudyjska, Dania, Finlandia, Hiszpania, Kanada, Litwa, Luksemburg, Holandia, Norwegia, Republika Czeska, Stany Zjednoczone, Szwajcaria, Turcja, Węgry, Włochy</t>
  </si>
  <si>
    <t>Pozostałe kraje: Belgia, Dania, Łotwa, Holandia, Norwegia</t>
  </si>
  <si>
    <t># data may not be published due to the necessity of maintaining statistical confidentiality in accordance with the Law on Official Statistics</t>
  </si>
  <si>
    <r>
      <t xml:space="preserve">WYSZCZEGÓLNIENIE     
</t>
    </r>
    <r>
      <rPr>
        <i/>
        <sz val="10"/>
        <rFont val="Arial"/>
        <family val="2"/>
        <charset val="238"/>
      </rPr>
      <t xml:space="preserve">SPECIFICATION  </t>
    </r>
    <r>
      <rPr>
        <sz val="10"/>
        <rFont val="Arial"/>
        <family val="2"/>
        <charset val="238"/>
      </rPr>
      <t xml:space="preserve">                </t>
    </r>
  </si>
  <si>
    <r>
      <t xml:space="preserve">b - rok poprzedni =100 (ceny stałe)                                                  </t>
    </r>
    <r>
      <rPr>
        <i/>
        <sz val="10"/>
        <rFont val="Arial"/>
        <family val="2"/>
        <charset val="238"/>
      </rPr>
      <t xml:space="preserve"> 
b - previous year=100  (constant prices)</t>
    </r>
  </si>
  <si>
    <r>
      <t xml:space="preserve">WYSZCZEGÓLNIENIE                                        </t>
    </r>
    <r>
      <rPr>
        <i/>
        <sz val="10"/>
        <color indexed="8"/>
        <rFont val="Arial"/>
        <family val="2"/>
        <charset val="238"/>
      </rPr>
      <t>SPECIFICATION</t>
    </r>
  </si>
  <si>
    <r>
      <t xml:space="preserve">rok poprzedni = 100  
</t>
    </r>
    <r>
      <rPr>
        <i/>
        <sz val="10"/>
        <color indexed="8"/>
        <rFont val="Arial"/>
        <family val="2"/>
        <charset val="238"/>
      </rPr>
      <t>previous year = 100</t>
    </r>
  </si>
  <si>
    <r>
      <rPr>
        <vertAlign val="superscript"/>
        <sz val="10"/>
        <color theme="1"/>
        <rFont val="Arial"/>
        <family val="2"/>
        <charset val="238"/>
      </rPr>
      <t>a</t>
    </r>
    <r>
      <rPr>
        <sz val="10"/>
        <color indexed="8"/>
        <rFont val="Arial"/>
        <family val="2"/>
        <charset val="238"/>
      </rPr>
      <t>Dane opracowano na podstawie miesięcznego badania cen reprezentantów robót budowlano–montażowych uzyskiwanych przez wybrane podmioty gospodarcze zaliczone według PKD 2007 do sekcji "Budownictwo", w których liczba pracujących przekracza 9 osób.</t>
    </r>
  </si>
  <si>
    <r>
      <rPr>
        <i/>
        <vertAlign val="superscript"/>
        <sz val="10"/>
        <color theme="1"/>
        <rFont val="Arial"/>
        <family val="2"/>
        <charset val="238"/>
      </rPr>
      <t>a</t>
    </r>
    <r>
      <rPr>
        <i/>
        <sz val="10"/>
        <color theme="1"/>
        <rFont val="Arial"/>
        <family val="2"/>
        <charset val="238"/>
      </rPr>
      <t>Data have been calculated on the basis of a monthly survey on prices of construction and assembly works representatives obtained by selected economic entities included in the "Construction" section of NACE Rev. 2 in which the number of employees exceeds 9 persons.</t>
    </r>
  </si>
  <si>
    <r>
      <t xml:space="preserve">Województwa                    (siedziba zarządu przedsiębiorstwa)         </t>
    </r>
    <r>
      <rPr>
        <i/>
        <sz val="10"/>
        <rFont val="Arial"/>
        <family val="2"/>
        <charset val="238"/>
      </rPr>
      <t>Voivodships                       (enterprise head office)</t>
    </r>
  </si>
  <si>
    <r>
      <t xml:space="preserve">Polska  
</t>
    </r>
    <r>
      <rPr>
        <i/>
        <sz val="10"/>
        <rFont val="Arial"/>
        <family val="2"/>
        <charset val="238"/>
      </rPr>
      <t>Poland</t>
    </r>
  </si>
  <si>
    <r>
      <t xml:space="preserve">WYSZCZEGÓLNIENIE            </t>
    </r>
    <r>
      <rPr>
        <i/>
        <sz val="10"/>
        <rFont val="Arial"/>
        <family val="2"/>
        <charset val="238"/>
      </rPr>
      <t>SPECIFICATION</t>
    </r>
  </si>
  <si>
    <r>
      <t xml:space="preserve">Ogółem                               </t>
    </r>
    <r>
      <rPr>
        <i/>
        <sz val="10"/>
        <rFont val="Arial"/>
        <family val="2"/>
        <charset val="238"/>
      </rPr>
      <t>Total</t>
    </r>
  </si>
  <si>
    <r>
      <t xml:space="preserve">WYSZCZEGÓLNIENIE                                                                               </t>
    </r>
    <r>
      <rPr>
        <i/>
        <sz val="10"/>
        <rFont val="Arial"/>
        <family val="2"/>
        <charset val="238"/>
      </rPr>
      <t>SPECIFICATION</t>
    </r>
  </si>
  <si>
    <r>
      <t xml:space="preserve">Ogółem 
</t>
    </r>
    <r>
      <rPr>
        <i/>
        <sz val="10"/>
        <rFont val="Arial"/>
        <family val="2"/>
        <charset val="238"/>
      </rPr>
      <t>Total</t>
    </r>
  </si>
  <si>
    <r>
      <t xml:space="preserve">WYSZCZEGÓLNIENIE                                                                                       </t>
    </r>
    <r>
      <rPr>
        <i/>
        <sz val="10"/>
        <rFont val="Arial"/>
        <family val="2"/>
        <charset val="238"/>
      </rPr>
      <t>SPECIFICATION</t>
    </r>
  </si>
  <si>
    <r>
      <t xml:space="preserve">WYSZCZEGÓLNIENIE                                                                                  </t>
    </r>
    <r>
      <rPr>
        <i/>
        <sz val="10"/>
        <rFont val="Arial"/>
        <family val="2"/>
        <charset val="238"/>
      </rPr>
      <t xml:space="preserve">SPECIFICATION     </t>
    </r>
  </si>
  <si>
    <r>
      <t xml:space="preserve">WYSZCZEGÓLNIENIE     </t>
    </r>
    <r>
      <rPr>
        <i/>
        <sz val="10"/>
        <rFont val="Arial"/>
        <family val="2"/>
        <charset val="238"/>
      </rPr>
      <t>SPECIFICATION</t>
    </r>
  </si>
  <si>
    <r>
      <t xml:space="preserve">Ogółem  </t>
    </r>
    <r>
      <rPr>
        <i/>
        <sz val="10"/>
        <rFont val="Arial"/>
        <family val="2"/>
        <charset val="238"/>
      </rPr>
      <t>Total</t>
    </r>
  </si>
  <si>
    <r>
      <t>Sprzęt
i transport   technologiczny O</t>
    </r>
    <r>
      <rPr>
        <i/>
        <sz val="10"/>
        <rFont val="Arial"/>
        <family val="2"/>
        <charset val="238"/>
      </rPr>
      <t>perating equipment and technolo-gical transport</t>
    </r>
  </si>
  <si>
    <r>
      <t xml:space="preserve">w % </t>
    </r>
    <r>
      <rPr>
        <i/>
        <sz val="10"/>
        <rFont val="Arial"/>
        <family val="2"/>
        <charset val="238"/>
      </rPr>
      <t xml:space="preserve"> in %</t>
    </r>
  </si>
  <si>
    <r>
      <t>Pozostałe kraje</t>
    </r>
    <r>
      <rPr>
        <vertAlign val="superscript"/>
        <sz val="10"/>
        <rFont val="Arial"/>
        <family val="2"/>
        <charset val="238"/>
      </rPr>
      <t>a</t>
    </r>
  </si>
  <si>
    <r>
      <t>Other countries</t>
    </r>
    <r>
      <rPr>
        <i/>
        <vertAlign val="superscript"/>
        <sz val="10"/>
        <rFont val="Arial"/>
        <family val="2"/>
        <charset val="238"/>
      </rPr>
      <t>a</t>
    </r>
  </si>
  <si>
    <r>
      <rPr>
        <vertAlign val="superscript"/>
        <sz val="10"/>
        <rFont val="Arial"/>
        <family val="2"/>
        <charset val="238"/>
      </rPr>
      <t>a</t>
    </r>
    <r>
      <rPr>
        <sz val="10"/>
        <rFont val="Arial"/>
        <family val="2"/>
        <charset val="238"/>
      </rPr>
      <t>Afganistan, Bahrajn, Białoruś, Bośnia i Hercegowina, Brazylia, Burundi, Chile, Chorwacja, Egipt, Estonia, Grecja, Gruzja, Islandia, Izrael, Łotwa, Kanada, Katar, Kazachstan, Kenia, Kongo, Korea Południowa, Madagaskar, Malta, Maroko, Meksyk, Mołdawia, Nowa Kaledonia, Pakistan, Republika Czeska, Republika Południowej Afryki, Rosja, Rumunia, Rwanda, Serbia, Słowenia, Stany Zjednoczone, Szwajcaria, Turcja, Ukraina, Uzbekistan, Wietnam, Zjednoczone Emiraty Arabskie</t>
    </r>
  </si>
  <si>
    <r>
      <rPr>
        <i/>
        <vertAlign val="superscript"/>
        <sz val="10"/>
        <rFont val="Arial"/>
        <family val="2"/>
        <charset val="238"/>
      </rPr>
      <t>a</t>
    </r>
    <r>
      <rPr>
        <i/>
        <sz val="10"/>
        <rFont val="Arial"/>
        <family val="2"/>
        <charset val="238"/>
      </rPr>
      <t>Afghanistan, Bahrain, Belarus, Bosnia and Herzegovina, Brazil, Burundi, Chile, Croatia, Egypt, Estonia, Greece, Georgia, Iceland, Israel, Latvia, Canada, Qatar, Kazakhstan, Kenya, Congo, South Korea, Madagascar, Malta, Marocco, Mexico, Moldova, New Caledonia, Pakistan, Czech Republic, South Africa, Russian Federation, Romania, Rwanda, Serbia, Slovenia, United States, Switzerland, Turkey, Ukraine, Uzbekistan, Vietnam, United Arab Emirates</t>
    </r>
  </si>
  <si>
    <r>
      <t>Koszty zarządu</t>
    </r>
    <r>
      <rPr>
        <i/>
        <sz val="10"/>
        <rFont val="Arial"/>
        <family val="2"/>
        <charset val="238"/>
      </rPr>
      <t xml:space="preserve">      Costs of management and administration</t>
    </r>
  </si>
  <si>
    <r>
      <t xml:space="preserve">Siedziba zarządu                                        </t>
    </r>
    <r>
      <rPr>
        <i/>
        <sz val="10"/>
        <rFont val="Arial"/>
        <family val="2"/>
        <charset val="238"/>
      </rPr>
      <t>Enterprise head office</t>
    </r>
  </si>
  <si>
    <r>
      <t xml:space="preserve">Miejsce wykonywania robót                      </t>
    </r>
    <r>
      <rPr>
        <i/>
        <sz val="10"/>
        <rFont val="Arial"/>
        <family val="2"/>
        <charset val="238"/>
      </rPr>
      <t>Work-site location</t>
    </r>
  </si>
  <si>
    <r>
      <t xml:space="preserve">RODZAJE OBIEKTÓW BUDOWLANYCH WEDŁUG PKOB                                       </t>
    </r>
    <r>
      <rPr>
        <i/>
        <sz val="10"/>
        <rFont val="Arial"/>
        <family val="2"/>
        <charset val="238"/>
      </rPr>
      <t xml:space="preserve">TYPE OF CONSTRUCTIONS PKOB   </t>
    </r>
    <r>
      <rPr>
        <sz val="10"/>
        <rFont val="Arial"/>
        <family val="2"/>
        <charset val="238"/>
      </rPr>
      <t xml:space="preserve">    </t>
    </r>
  </si>
  <si>
    <r>
      <t xml:space="preserve">a - liczby bezwzględne (ceny bieżące) w tys. zł                               
</t>
    </r>
    <r>
      <rPr>
        <i/>
        <sz val="10"/>
        <rFont val="Arial"/>
        <family val="2"/>
        <charset val="238"/>
      </rPr>
      <t>a - absolute numbers (current prices) in thous. PLN</t>
    </r>
  </si>
  <si>
    <r>
      <t xml:space="preserve">w tys. zł   
</t>
    </r>
    <r>
      <rPr>
        <i/>
        <sz val="10"/>
        <rFont val="Arial"/>
        <family val="2"/>
        <charset val="238"/>
      </rPr>
      <t>in thous. PLN</t>
    </r>
  </si>
  <si>
    <r>
      <t xml:space="preserve">w tys. zł              
</t>
    </r>
    <r>
      <rPr>
        <i/>
        <sz val="10"/>
        <color theme="1"/>
        <rFont val="Arial"/>
        <family val="2"/>
        <charset val="238"/>
      </rPr>
      <t>in thous. PLN</t>
    </r>
  </si>
  <si>
    <r>
      <t xml:space="preserve">Ogółem (w tys. zł)  
</t>
    </r>
    <r>
      <rPr>
        <i/>
        <sz val="10"/>
        <rFont val="Arial"/>
        <family val="2"/>
        <charset val="238"/>
      </rPr>
      <t>Total (in thous. PLN)</t>
    </r>
  </si>
  <si>
    <r>
      <t xml:space="preserve"> w tys. zł  
</t>
    </r>
    <r>
      <rPr>
        <i/>
        <sz val="10"/>
        <rFont val="Arial"/>
        <family val="2"/>
        <charset val="238"/>
      </rPr>
      <t>in thous. PLN</t>
    </r>
  </si>
  <si>
    <r>
      <t xml:space="preserve">Ogółem (w tys. zł)    
</t>
    </r>
    <r>
      <rPr>
        <i/>
        <sz val="10"/>
        <rFont val="Arial"/>
        <family val="2"/>
        <charset val="238"/>
      </rPr>
      <t>Total (in thous. PLN)</t>
    </r>
  </si>
  <si>
    <r>
      <t xml:space="preserve">Produkcja budowlano-montażowa w tys. zł  
</t>
    </r>
    <r>
      <rPr>
        <i/>
        <sz val="10"/>
        <rFont val="Arial"/>
        <family val="2"/>
        <charset val="238"/>
      </rPr>
      <t>Construction and assembly production in thous. PLN</t>
    </r>
  </si>
  <si>
    <r>
      <t xml:space="preserve">Ogółem  
</t>
    </r>
    <r>
      <rPr>
        <i/>
        <sz val="10"/>
        <rFont val="Arial"/>
        <family val="2"/>
        <charset val="238"/>
      </rPr>
      <t>Total</t>
    </r>
  </si>
  <si>
    <r>
      <t xml:space="preserve">W tym roboty o charakterze inwestycyjnym     
</t>
    </r>
    <r>
      <rPr>
        <i/>
        <sz val="10"/>
        <rFont val="Arial"/>
        <family val="2"/>
        <charset val="238"/>
      </rPr>
      <t>Of which works with an investment character</t>
    </r>
  </si>
  <si>
    <r>
      <t xml:space="preserve">W tym roboty o charakterze inwestycyjnym 
</t>
    </r>
    <r>
      <rPr>
        <i/>
        <sz val="10"/>
        <rFont val="Arial"/>
        <family val="2"/>
        <charset val="238"/>
      </rPr>
      <t>Of which works with an investment character</t>
    </r>
  </si>
  <si>
    <r>
      <t xml:space="preserve">Produkcja budowlano-montażowa w tys. zł
</t>
    </r>
    <r>
      <rPr>
        <i/>
        <sz val="10"/>
        <color indexed="8"/>
        <rFont val="Arial"/>
        <family val="2"/>
        <charset val="238"/>
      </rPr>
      <t>Construction and assembly production in thous. PLN</t>
    </r>
  </si>
  <si>
    <r>
      <t xml:space="preserve">W tym roboty
o charakterze inwestycyjnym             </t>
    </r>
    <r>
      <rPr>
        <i/>
        <sz val="10"/>
        <rFont val="Arial"/>
        <family val="2"/>
        <charset val="238"/>
      </rPr>
      <t>Of which works with an investment character</t>
    </r>
  </si>
  <si>
    <r>
      <t xml:space="preserve">W tym roboty
o charakterze inwestycyjnym          
</t>
    </r>
    <r>
      <rPr>
        <i/>
        <sz val="10"/>
        <rFont val="Arial"/>
        <family val="2"/>
        <charset val="238"/>
      </rPr>
      <t>Of which works with an investment character</t>
    </r>
  </si>
  <si>
    <r>
      <t>PRICE INDICES OF CONSTRUCTION AND ASSEMBLY PRODUCTION</t>
    </r>
    <r>
      <rPr>
        <i/>
        <vertAlign val="superscript"/>
        <sz val="10"/>
        <color indexed="8"/>
        <rFont val="Arial"/>
        <family val="2"/>
        <charset val="238"/>
      </rPr>
      <t>a</t>
    </r>
  </si>
  <si>
    <t xml:space="preserve">     of which waste water treatment plants</t>
  </si>
  <si>
    <t>roboty związane z budową pozostałych obiektów inżynierii lądowej
i wodnej</t>
  </si>
  <si>
    <t xml:space="preserve">wykonywanie instalacji elektrycznych, wodno-kanalizacyjnych i pozostałych instalacji budowlanych      </t>
  </si>
  <si>
    <t>roboty związane z budową rurociągów, linii telekomunikacyjnych i elektroenergetycznych</t>
  </si>
  <si>
    <r>
      <t xml:space="preserve">Przeciętne zatrudnienie 
w osobach                    
</t>
    </r>
    <r>
      <rPr>
        <i/>
        <sz val="10"/>
        <rFont val="Arial"/>
        <family val="2"/>
        <charset val="238"/>
      </rPr>
      <t>Average paid employment in persons</t>
    </r>
  </si>
  <si>
    <t>PRODUKCJA BUDOWLANO-MONTAŻOWA ZREALIZOWANA NA TERENIE KRAJU W LATACH 2005-2017</t>
  </si>
  <si>
    <t>WSKAŹNIKI CEN PRODUKCJI BUDOWLANO-MONTAŻOWEJ</t>
  </si>
  <si>
    <t>PRODUKCJA BUDOWLANO-MONTAŻOWA ZREALIZOWANA NA TERENIE KRAJU W JEDNOSTKACH BUDOWLANYCH WEDŁUG WOJEWÓDZTW ― MIEJSCA WYKONYWANIA ROBÓT W LATACH 2016-2017</t>
  </si>
  <si>
    <r>
      <t>TABL. 3. WSKAŹNIKI CEN PRODUKCJI BUDOWLANO-M</t>
    </r>
    <r>
      <rPr>
        <b/>
        <sz val="10"/>
        <color indexed="8"/>
        <rFont val="Arial"/>
        <family val="2"/>
        <charset val="238"/>
      </rPr>
      <t>ONTAŻOWEJ</t>
    </r>
    <r>
      <rPr>
        <b/>
        <vertAlign val="superscript"/>
        <sz val="10"/>
        <color indexed="8"/>
        <rFont val="Arial"/>
        <family val="2"/>
        <charset val="238"/>
      </rPr>
      <t>a</t>
    </r>
  </si>
  <si>
    <r>
      <t xml:space="preserve">w tys. zł
</t>
    </r>
    <r>
      <rPr>
        <i/>
        <sz val="10"/>
        <rFont val="Arial"/>
        <family val="2"/>
        <charset val="238"/>
      </rPr>
      <t>in thous. PLN</t>
    </r>
  </si>
  <si>
    <t>Pozostałe kraje: Afganistan, Arabia Saudyjska, Białoruś, Bośnia i Hercegowina, Brazylia, Chile, Chorwacja, Egipt, Estonia, Grecja, Gruzja, Izrael, Kanada, Katar, Kazachstan, Kenia, Madagaskar, Maroko, Meksyk, Mołdawia, Nowa Kaledonia, Pakistan, Rep. Południowej Afryki, Republika Korei, Rosja, Serbia, Słowenia, Wietnam, Zjedn. Emiraty Arabskie</t>
  </si>
  <si>
    <r>
      <t xml:space="preserve">W tym roboty o charakterze inwestycyjnym
</t>
    </r>
    <r>
      <rPr>
        <i/>
        <sz val="10"/>
        <rFont val="Arial"/>
        <family val="2"/>
        <charset val="238"/>
      </rPr>
      <t>Of which works with an investment character</t>
    </r>
  </si>
  <si>
    <t>TABL. 2. PRODUKCJA BUDOWLANO-MONTAŻOWA ZREALIZOWANA NA TERENIE KRAJU
W JEDNOSTKACH BUDOWLANYCH WEDŁUG WOJEWÓDZTW ― MIEJSCA WYKONYWANIA ROBÓT W LATACH 2016-2017</t>
  </si>
  <si>
    <t xml:space="preserve">TABL. 1. PRODUKCJA BUDOWLANO-MONTAŻOWA ZREALIZOWANA NA TERENIE KRAJU W LATACH 2005-2017  </t>
  </si>
  <si>
    <t>TABL. 10. STRUKTURA KOSZTÓW PRODUKCJI BUDOWLANO-MONTAŻOWEJ W UKŁADZIE KALKULACYJNYM W JEDNOSTKACH BUDOWLANYCH O LICZBIE PRACUJĄCYCH POWYŻEJ 9 OSÓB W 2017 R.</t>
  </si>
  <si>
    <r>
      <t xml:space="preserve">Płace bezpośrednie          </t>
    </r>
    <r>
      <rPr>
        <i/>
        <sz val="10"/>
        <rFont val="Arial"/>
        <family val="2"/>
        <charset val="238"/>
      </rPr>
      <t xml:space="preserve"> Direct wages</t>
    </r>
  </si>
  <si>
    <r>
      <t>Other countries</t>
    </r>
    <r>
      <rPr>
        <i/>
        <vertAlign val="superscript"/>
        <sz val="10"/>
        <rFont val="Arial"/>
        <family val="2"/>
        <charset val="238"/>
      </rPr>
      <t xml:space="preserve"> </t>
    </r>
    <r>
      <rPr>
        <i/>
        <sz val="10"/>
        <rFont val="Arial"/>
        <family val="2"/>
        <charset val="238"/>
      </rPr>
      <t>Afghanistan, Saudi Arabia, Belarus, Bosnia and Herzegovina, Brazil, Chile, Croatia, Egypt, Estonia, Greece, Georgia, Israel, Canada, Qatar, Kazakhstan, Kenya, Madagascar, Morocco, Mexico, Moldova, New Caledonia, Pakistan, South Africa, Korea, Russia, Serbia, Slovenia, Vietnam, United Arab Emirates</t>
    </r>
  </si>
  <si>
    <t>Pozostałe kraje: Bośnia i Hercegowina, Bułgaria, Dania, Finlandia, Grecja, Hiszpania, Irlandia, Islandia, Izrael, Meksyk, Rep. Połud. Afryki, Rumunia, Serbia, Stany Zjednoczone, Szwajcaria, Szwecja, Turcja, Węgry, Włochy</t>
  </si>
  <si>
    <t>Pozostałe kraje: Arabia Saudyjska, Białoruś, Bułgaria, Egipt, Estonia, Hiszpania, Irlandia, Islandia, Kazachstan, Luksemburg, Łotwa, Madagaskar, Nowa Kaledonia, Rep. Połud. Afryki, Rosja, Rumunia, Serbia, Słowacja, Słowenia, Szwajcaria, Ukraina,  Węgry, Wielka Brytania, Wietnam, Włochy, Zjedn. Emiraty Arabskie</t>
  </si>
  <si>
    <r>
      <t xml:space="preserve">Materiały   bezpośrednie </t>
    </r>
    <r>
      <rPr>
        <i/>
        <sz val="10"/>
        <rFont val="Arial"/>
        <family val="2"/>
        <charset val="238"/>
      </rPr>
      <t>Direct materials</t>
    </r>
  </si>
  <si>
    <r>
      <t xml:space="preserve">Koszty zakupu  </t>
    </r>
    <r>
      <rPr>
        <i/>
        <sz val="10"/>
        <rFont val="Arial"/>
        <family val="2"/>
        <charset val="238"/>
      </rPr>
      <t>Purchase costs</t>
    </r>
  </si>
  <si>
    <r>
      <t>Koszty ogólne budowy</t>
    </r>
    <r>
      <rPr>
        <i/>
        <sz val="10"/>
        <rFont val="Arial"/>
        <family val="2"/>
        <charset val="238"/>
      </rPr>
      <t xml:space="preserve">   General building costs</t>
    </r>
  </si>
  <si>
    <r>
      <t>Koszty nieprodukcyjne</t>
    </r>
    <r>
      <rPr>
        <i/>
        <sz val="10"/>
        <rFont val="Arial"/>
        <family val="2"/>
        <charset val="238"/>
      </rPr>
      <t xml:space="preserve">                             Non production costs</t>
    </r>
  </si>
  <si>
    <r>
      <t xml:space="preserve">Pozostałe koszty bezpośrednie </t>
    </r>
    <r>
      <rPr>
        <i/>
        <sz val="10"/>
        <rFont val="Arial"/>
        <family val="2"/>
        <charset val="238"/>
      </rPr>
      <t xml:space="preserve"> Other direct costs</t>
    </r>
  </si>
  <si>
    <r>
      <t xml:space="preserve">                       W tym roboty o charakterze inwestycyjnym
                        O</t>
    </r>
    <r>
      <rPr>
        <i/>
        <sz val="10"/>
        <rFont val="Arial"/>
        <family val="2"/>
        <charset val="238"/>
      </rPr>
      <t>f which works with an investment character</t>
    </r>
  </si>
  <si>
    <r>
      <t xml:space="preserve">                             Województwa (miejsce wykonywania robót)                                                                                                                                                             </t>
    </r>
    <r>
      <rPr>
        <i/>
        <sz val="10"/>
        <rFont val="Arial"/>
        <family val="2"/>
        <charset val="238"/>
      </rPr>
      <t>Voivodships (work-site location)</t>
    </r>
  </si>
  <si>
    <r>
      <t xml:space="preserve">WYSZCZEGÓLNIENIE                                                                                                       </t>
    </r>
    <r>
      <rPr>
        <i/>
        <sz val="10"/>
        <color rgb="FF000000"/>
        <rFont val="Arial"/>
        <family val="2"/>
        <charset val="238"/>
      </rPr>
      <t>SPECIFICATION</t>
    </r>
  </si>
  <si>
    <t>Tabl. 5. PRODUKCJA BUDOWLANO-MONTAŻOWA ZREALIZOWANA NA TERENIE KRAJU WEDŁUG WOJEWÓDZTW  ―  
SIEDZIBY ZARZĄDU PRZEDSIĘBIORSTWA I MIEJSCA WYKONYWANIA ROBÓT W JEDNOSTKACH BUDOWLANYCH
O LICZBIE PRACUJĄCYCH POWYŻEJ 9 OSÓB W LATACH 2013-2017</t>
  </si>
  <si>
    <t>TABL. 9. PRODUKCJA BUDOWLANO-MONTAŻOWA WEDŁUG WOJEWÓDZTW ―  SIEDZIBY ZARZĄDU PRZEDSIĘBIORSTWA, WEDŁUG PODSTAWOWEGO RODZAJU DZIAŁALNOŚCI (KLASYFIKACJA - GRUPY PKD 2007) W PRZEDSIĘBIORSTWACH BUDOWLANYCH O LICZBIE PRACUJĄCYCH POWYŻEJ 9 OSÓB W 2017 R.</t>
  </si>
  <si>
    <t>PRODUKCJA BUDOWLANO-MONTAŻOWA WEDŁUG WOJEWÓDZTW  ―  WEDŁUG SIEDZIBY ZARZĄDU PRZEDSIĘBIORSTWA, WEDŁUG PODSTAWOWEGO RODZAJU DZIAŁALNOŚCI (KLASYFIKACJA - GRUPY PKD 2007) W PRZEDSIĘBIORSTWACH BUDOWLANYCH O LICZBIE PRACUJĄCYCH POWYŻEJ 9 OSÓB W 2017 R.</t>
  </si>
  <si>
    <t xml:space="preserve">CONSTRUCTION AND ASSEMBLY PRODUCTION BY VOIVODSHIPS   ― ENTERPRISE HEAD OFFICE, BY BASIC KIND OF ACTIVITY CONSTRUCTIONS (CLASSIFICATION OF ACTIVITIES 2007 - GROUPS) BY CONSTRUCTION ENTITES WITH MORE THAN 9 PERSONS EMPLOYED IN 2017 </t>
  </si>
  <si>
    <t xml:space="preserve">EXPORT OF CONSTRUCTION AND ASSEMBLY PRODUCTION AND AVERAGE PAID EMPLOYMENT BY COUNTRIES — WORK-SITE LOCATION IN CONSTRUCTION AND NON-CONSTRUCTION ENTITES WITH MORE THAN 9 PERSONS WITH MORE THAN 9 PERSONS EMPLOYED IN 2017 </t>
  </si>
  <si>
    <t>PRODUKCJA BUDOWLANO-MONTAŻOWA WEDŁUG WOJEWÓDZTW―  SIEDZIBY ZARZĄDU PRZEDSIĘBIORSTWA I MIEJSCA WYKONYWANIA ROBÓT W JEDNOSTKACH BUDOWLANYCH O LICZBIE PRACUJĄCYCH POWYŻEJ 9 OSÓB W 2017 R.</t>
  </si>
  <si>
    <t>PRODUKCJA BUDOWLANO-MONTAŻOWA WEDŁUG WOJEWÓDZTW ― SIEDZIBY ZARZĄDU PRZEDSIĘBIORSTWA I MIEJSCA WYKONYWANIA ROBÓT W JEDNOSTKACH BUDOWLANYCH O LICZBIE PRACUJĄCYCH POWYŻEJ 9 OSÓB W LATACH 2013-2017</t>
  </si>
  <si>
    <t>PRODUKCJA BUDOWLANO-MONTAŻOWA WEDŁUG WOJEWÓDZTW ― SIEDZIBY ZARZĄDU PRZEDSIĘBIORSTWA, RODZAJÓW REALIZOWANYCH OBIEKTÓW BUDOWLANYCH (KLASYFIKACJA PKOB) W PRZEDSIĘBIORSTWACH BUDOWLANYCH O LICZBIE PRACUJĄCYCH POWYŻEJ 9 OSÓB W 2017 R.</t>
  </si>
  <si>
    <t xml:space="preserve">CONSTRUCTION AND ASSEMBLY PRODUCTIONBY VOIVODSHIPS ― ENTERPRISE HEAD OFFICE, BY TYPE OF CONSTRUCTIONS (CLASSIFICATION OF TYPES OF CONSTRUCTION PKOB) BY CONSTRUCTION ENTITES WITH MORE THAN 9 PERSONS EMPLOYED IN 2017 </t>
  </si>
  <si>
    <t>EKSPORT PRODUKCJI BUDOWLANO-MONTAŻOWEJ ORAZ PRZECIĘTNE ZATRUDNIENIE WEDŁUG KRAJÓW - MIEJSCA WYKONYWANIA ROBÓT, W JEDNOSTKACH BUDOWLANYCH I NIEBUDOWLANYCH O LICZBIE PRACUJĄCYCH POWYŻEJ 9 OSÓB W 2017 R.</t>
  </si>
  <si>
    <t>EKSPORT PRODUKCJI BUDOWLANO-MONTAŻOWEJ ORAZ PRZECIĘTNE ZATRUDNIENIE WEDŁUG KRAJÓW - MIEJSCA WYKONYWANIA ROBÓT, W JEDNOSTKACH BUDOWLANYCH O LICZBIE PRACUJĄCYCH POWYŻEJ 9 OSÓB W 2017 R.</t>
  </si>
  <si>
    <t>EXPORT OF CONSTRUCTION AND ASSEMBLY PRODUCTION AND AVERAGE PAID EMPLOYMENT BY COUNTRIES — WORK-SITE LOCATION IN CONSTRUCTION ENTITES WITH MORE THAN 9 PERSONS EMPLOYED IN 2017</t>
  </si>
  <si>
    <t>TABL. 11. EKSPORT PRODUKCJI BUDOWLANO-MONTAŻOWEJ ORAZ PRZECIĘTNE ZATRUDNIENIE WEDŁUG KRAJÓW - MIEJSCA WYKONYWANIA ROBÓT, W JEDNOSTKACH BUDOWLANYCH I NIEBUDOWLANYCH O LICZBIE PRACUJĄCYCH POWYŻEJ 9 OSÓB W 2017 R.</t>
  </si>
  <si>
    <t>EXPORT OF CONSTRUCTION AND ASSEMBLY PRODUCTION AND AVERAGE PAID EMPLOYMENT BY COUNTRIES — WORK-SITE LOCATION IN CONSTRUCTION AND NON-CONSTRUCTION ENTITES WITH MORE THAN 9 PERSONS IN 2017</t>
  </si>
  <si>
    <t>TABL. 12. EKSPORT PRODUKCJI BUDOWLANO-MONTAŻOWEJ ORAZ PRZECIĘTNE ZATRUDNIENIE WEDŁUG KRAJÓW - MIEJSCA WYKONYWANIA ROBÓT, W JEDNOSTKACH BUDOWLANYCH O LICZBIE PRACUJĄCYCH POWYŻEJ 9 OSÓB W 2017 R.</t>
  </si>
  <si>
    <t>TABL. 4. PRODUKCJA BUDOWLANO-MONTAŻOWA WEDŁUG WOJEWÓDZTW ― SIEDZIBY ZARZĄDU PRZEDSIĘBIORSTWA I MIEJSCA WYKONYWANIA ROBÓT W JEDNOSTKACH BUDOWLANYCH O LICZBIE PRACUJĄCYCH POWYŻEJ 9 OSÓB W 2017 R.</t>
  </si>
  <si>
    <t>Tabl. 6. PRODUKCJA BUDOWLANO-MONTAŻOWA WEDŁUG SIEDZIBY ZARZĄDU PRZEDSIĘBIORSTWA, WEDŁUG RODZAJÓW REALIZOWANYCH OBIEKTÓW BUDOWLANYCH (KLASYFIKACJA PKOB)
W PRZEDSIĘBIORSTWACH BUDOWLANYCH O LICZBIE PRACUJĄCYCH POWYŻEJ 9 OSÓB W LATACH 2013-2017</t>
  </si>
  <si>
    <t xml:space="preserve">TABL. 7. PRODUKCJA BUDOWLANO-MONTAŻOWA WEDŁUG WOJEWÓDZTW ― SIEDZIBY ZARZĄDU PRZEDSIĘBIORSTWA, RODZAJÓW REALIZOWANYCH OBIEKTÓW BUDOWLANYCH (KLASYFIKACJA PKOB) W PRZEDSIĘBIORSTWACH BUDOWLANYCH O LICZBIE PRACUJĄCYCH POWYŻEJ 9 OSÓB W 2017 R. </t>
  </si>
  <si>
    <t>Tabl. 8. PRODUKCJA BUDOWLANO-MONTAŻOWA WEDŁUG SIEDZIBY ZARZĄDU PRZEDSIĘBIORSTWA, WEDŁUG PODSTAWOWEGO RODZAJU DZIAŁALNOŚCI (KLASYFIKACJA - GRUPY PKD 2007), WEDŁUG SEKTORÓW W PRZEDSIĘBIORSTWACH BUDOWLANYCH O LICZBIE PRACUJĄCYCH POWYŻEJ 9 OSÓB W LATACH 2013-2017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</si>
</sst>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
    <numFmt numFmtId="165" formatCode="#,##0.0"/>
    <numFmt numFmtId="166" formatCode="0.0_)"/>
    <numFmt numFmtId="167" formatCode="0.0"/>
    <numFmt numFmtId="168" formatCode="0_)"/>
    <numFmt numFmtId="169" formatCode="0.0__"/>
    <numFmt numFmtId="170" formatCode="0.0___)"/>
    <numFmt numFmtId="171" formatCode="General_)"/>
    <numFmt numFmtId="172" formatCode="0.0_____)"/>
    <numFmt numFmtId="173" formatCode="0______"/>
    <numFmt numFmtId="174" formatCode="0.0_________)"/>
    <numFmt numFmtId="175" formatCode="0_____________)"/>
    <numFmt numFmtId="176" formatCode="0.0___________)"/>
  </numFmts>
  <fonts count="34">
    <font>
      <sz val="11"/>
      <color theme="1"/>
      <name val="Calibri"/>
      <family val="2"/>
      <charset val="238"/>
      <scheme val="minor"/>
    </font>
    <font>
      <sz val="11"/>
      <color theme="1"/>
      <name val="Calibri"/>
      <family val="2"/>
      <charset val="238"/>
      <scheme val="minor"/>
    </font>
    <font>
      <sz val="10"/>
      <name val="Arial"/>
      <family val="2"/>
      <charset val="238"/>
    </font>
    <font>
      <sz val="11"/>
      <color theme="1"/>
      <name val="Czcionka tekstu podstawowego"/>
      <family val="2"/>
      <charset val="238"/>
    </font>
    <font>
      <sz val="11"/>
      <color indexed="8"/>
      <name val="Czcionka tekstu podstawowego"/>
      <family val="2"/>
      <charset val="238"/>
    </font>
    <font>
      <u/>
      <sz val="11"/>
      <color theme="10"/>
      <name val="Czcionka tekstu podstawowego"/>
      <family val="2"/>
      <charset val="238"/>
    </font>
    <font>
      <sz val="11"/>
      <color rgb="FF000000"/>
      <name val="Calibri"/>
      <family val="2"/>
      <scheme val="minor"/>
    </font>
    <font>
      <b/>
      <sz val="10"/>
      <name val="Arial"/>
      <family val="2"/>
      <charset val="238"/>
    </font>
    <font>
      <sz val="10"/>
      <color theme="1"/>
      <name val="Arial"/>
      <family val="2"/>
      <charset val="238"/>
    </font>
    <font>
      <i/>
      <sz val="10"/>
      <name val="Arial"/>
      <family val="2"/>
      <charset val="238"/>
    </font>
    <font>
      <sz val="11"/>
      <color theme="1"/>
      <name val="Arial"/>
      <family val="2"/>
      <charset val="238"/>
    </font>
    <font>
      <b/>
      <i/>
      <sz val="10"/>
      <name val="Arial"/>
      <family val="2"/>
      <charset val="238"/>
    </font>
    <font>
      <b/>
      <vertAlign val="superscript"/>
      <sz val="10"/>
      <color rgb="FFFF0000"/>
      <name val="Arial"/>
      <family val="2"/>
      <charset val="238"/>
    </font>
    <font>
      <sz val="10"/>
      <color indexed="8"/>
      <name val="Arial"/>
      <family val="2"/>
      <charset val="238"/>
    </font>
    <font>
      <u/>
      <sz val="10"/>
      <color rgb="FF001D77"/>
      <name val="Arial"/>
      <family val="2"/>
      <charset val="238"/>
    </font>
    <font>
      <u/>
      <sz val="10"/>
      <color theme="10"/>
      <name val="Arial"/>
      <family val="2"/>
      <charset val="238"/>
    </font>
    <font>
      <i/>
      <sz val="10"/>
      <color indexed="8"/>
      <name val="Arial"/>
      <family val="2"/>
      <charset val="238"/>
    </font>
    <font>
      <b/>
      <sz val="10"/>
      <color theme="1"/>
      <name val="Arial"/>
      <family val="2"/>
      <charset val="238"/>
    </font>
    <font>
      <i/>
      <sz val="10"/>
      <color theme="1"/>
      <name val="Arial"/>
      <family val="2"/>
      <charset val="238"/>
    </font>
    <font>
      <b/>
      <sz val="10"/>
      <color indexed="8"/>
      <name val="Arial"/>
      <family val="2"/>
      <charset val="238"/>
    </font>
    <font>
      <b/>
      <vertAlign val="superscript"/>
      <sz val="10"/>
      <color indexed="8"/>
      <name val="Arial"/>
      <family val="2"/>
      <charset val="238"/>
    </font>
    <font>
      <i/>
      <sz val="10"/>
      <color rgb="FF000000"/>
      <name val="Arial"/>
      <family val="2"/>
      <charset val="238"/>
    </font>
    <font>
      <i/>
      <vertAlign val="superscript"/>
      <sz val="10"/>
      <color indexed="8"/>
      <name val="Arial"/>
      <family val="2"/>
      <charset val="238"/>
    </font>
    <font>
      <sz val="10"/>
      <color rgb="FF000000"/>
      <name val="Arial"/>
      <family val="2"/>
      <charset val="238"/>
    </font>
    <font>
      <b/>
      <sz val="10"/>
      <color rgb="FF000000"/>
      <name val="Arial"/>
      <family val="2"/>
      <charset val="238"/>
    </font>
    <font>
      <b/>
      <i/>
      <sz val="10"/>
      <color rgb="FF000000"/>
      <name val="Arial"/>
      <family val="2"/>
      <charset val="238"/>
    </font>
    <font>
      <vertAlign val="superscript"/>
      <sz val="10"/>
      <color theme="1"/>
      <name val="Arial"/>
      <family val="2"/>
      <charset val="238"/>
    </font>
    <font>
      <i/>
      <vertAlign val="superscript"/>
      <sz val="10"/>
      <color theme="1"/>
      <name val="Arial"/>
      <family val="2"/>
      <charset val="238"/>
    </font>
    <font>
      <i/>
      <sz val="9"/>
      <name val="Arial"/>
      <family val="2"/>
      <charset val="238"/>
    </font>
    <font>
      <vertAlign val="superscript"/>
      <sz val="10"/>
      <name val="Arial"/>
      <family val="2"/>
      <charset val="238"/>
    </font>
    <font>
      <i/>
      <vertAlign val="superscript"/>
      <sz val="10"/>
      <name val="Arial"/>
      <family val="2"/>
      <charset val="238"/>
    </font>
    <font>
      <b/>
      <i/>
      <sz val="10"/>
      <color theme="1"/>
      <name val="Arial"/>
      <family val="2"/>
      <charset val="238"/>
    </font>
    <font>
      <i/>
      <sz val="11"/>
      <color theme="1"/>
      <name val="Arial"/>
      <family val="2"/>
      <charset val="238"/>
    </font>
    <font>
      <sz val="9.5"/>
      <color theme="1"/>
      <name val="Fira Sans"/>
      <family val="2"/>
      <charset val="238"/>
    </font>
  </fonts>
  <fills count="2">
    <fill>
      <patternFill patternType="none"/>
    </fill>
    <fill>
      <patternFill patternType="gray125"/>
    </fill>
  </fills>
  <borders count="28">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s>
  <cellStyleXfs count="9">
    <xf numFmtId="0" fontId="0" fillId="0" borderId="0"/>
    <xf numFmtId="9" fontId="1" fillId="0" borderId="0" applyFont="0" applyFill="0" applyBorder="0" applyAlignment="0" applyProtection="0"/>
    <xf numFmtId="0" fontId="3" fillId="0" borderId="0"/>
    <xf numFmtId="0" fontId="4" fillId="0" borderId="0"/>
    <xf numFmtId="0" fontId="4" fillId="0" borderId="0"/>
    <xf numFmtId="0" fontId="5" fillId="0" borderId="0" applyNumberFormat="0" applyFill="0" applyBorder="0" applyAlignment="0" applyProtection="0"/>
    <xf numFmtId="0" fontId="2" fillId="0" borderId="0"/>
    <xf numFmtId="0" fontId="1" fillId="0" borderId="0"/>
    <xf numFmtId="0" fontId="6" fillId="0" borderId="0"/>
  </cellStyleXfs>
  <cellXfs count="524">
    <xf numFmtId="0" fontId="0" fillId="0" borderId="0" xfId="0"/>
    <xf numFmtId="0" fontId="2" fillId="0" borderId="0" xfId="0" applyFont="1" applyFill="1"/>
    <xf numFmtId="0" fontId="2" fillId="0" borderId="0" xfId="0" applyFont="1"/>
    <xf numFmtId="49" fontId="7" fillId="0" borderId="0" xfId="0" applyNumberFormat="1" applyFont="1" applyBorder="1" applyAlignment="1" applyProtection="1">
      <alignment horizontal="left"/>
    </xf>
    <xf numFmtId="0" fontId="7" fillId="0" borderId="13" xfId="0" applyFont="1" applyBorder="1" applyAlignment="1">
      <alignment horizontal="center"/>
    </xf>
    <xf numFmtId="165" fontId="7" fillId="0" borderId="7" xfId="0" applyNumberFormat="1" applyFont="1" applyBorder="1" applyAlignment="1">
      <alignment horizontal="right" indent="1"/>
    </xf>
    <xf numFmtId="165" fontId="7" fillId="0" borderId="0" xfId="0" applyNumberFormat="1" applyFont="1" applyBorder="1" applyAlignment="1">
      <alignment horizontal="right" indent="1"/>
    </xf>
    <xf numFmtId="165" fontId="7" fillId="0" borderId="8"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0" xfId="0" applyNumberFormat="1" applyFont="1" applyAlignment="1">
      <alignment horizontal="right" indent="1"/>
    </xf>
    <xf numFmtId="167" fontId="7" fillId="0" borderId="0" xfId="0" applyNumberFormat="1" applyFont="1" applyFill="1"/>
    <xf numFmtId="0" fontId="7" fillId="0" borderId="0" xfId="0" applyFont="1" applyFill="1"/>
    <xf numFmtId="0" fontId="7" fillId="0" borderId="0" xfId="0" applyFont="1"/>
    <xf numFmtId="49" fontId="11" fillId="0" borderId="0" xfId="0" applyNumberFormat="1" applyFont="1" applyBorder="1" applyAlignment="1"/>
    <xf numFmtId="0" fontId="7" fillId="0" borderId="7" xfId="0" applyFont="1" applyBorder="1" applyAlignment="1">
      <alignment horizontal="center"/>
    </xf>
    <xf numFmtId="166" fontId="7" fillId="0" borderId="7" xfId="0" applyNumberFormat="1" applyFont="1" applyBorder="1" applyAlignment="1">
      <alignment horizontal="right" indent="1"/>
    </xf>
    <xf numFmtId="166" fontId="7" fillId="0" borderId="0" xfId="0" applyNumberFormat="1" applyFont="1" applyBorder="1" applyAlignment="1">
      <alignment horizontal="right" indent="1"/>
    </xf>
    <xf numFmtId="166" fontId="7" fillId="0" borderId="8" xfId="0" applyNumberFormat="1" applyFont="1" applyBorder="1" applyAlignment="1">
      <alignment horizontal="right" indent="1"/>
    </xf>
    <xf numFmtId="0" fontId="7" fillId="0" borderId="7" xfId="0" applyFont="1" applyBorder="1" applyAlignment="1">
      <alignment horizontal="right" indent="1"/>
    </xf>
    <xf numFmtId="49" fontId="2" fillId="0" borderId="0" xfId="0" applyNumberFormat="1" applyFont="1" applyAlignment="1">
      <alignment horizontal="left" indent="1"/>
    </xf>
    <xf numFmtId="49" fontId="9" fillId="0" borderId="0" xfId="0" applyNumberFormat="1" applyFont="1" applyAlignment="1">
      <alignment horizontal="left" indent="1"/>
    </xf>
    <xf numFmtId="49" fontId="7" fillId="0" borderId="0" xfId="0" applyNumberFormat="1" applyFont="1" applyAlignment="1">
      <alignment horizontal="left" indent="1"/>
    </xf>
    <xf numFmtId="165" fontId="7" fillId="0" borderId="8" xfId="0" applyNumberFormat="1" applyFont="1" applyFill="1" applyBorder="1" applyAlignment="1">
      <alignment horizontal="right" indent="1"/>
    </xf>
    <xf numFmtId="0" fontId="12" fillId="0" borderId="0" xfId="0" applyNumberFormat="1" applyFont="1" applyFill="1" applyBorder="1" applyAlignment="1">
      <alignment horizontal="right"/>
    </xf>
    <xf numFmtId="49" fontId="11" fillId="0" borderId="0" xfId="0" applyNumberFormat="1" applyFont="1" applyAlignment="1">
      <alignment horizontal="left" indent="1"/>
    </xf>
    <xf numFmtId="0" fontId="2" fillId="0" borderId="7" xfId="0" applyFont="1" applyBorder="1" applyAlignment="1">
      <alignment horizontal="center"/>
    </xf>
    <xf numFmtId="165" fontId="2" fillId="0" borderId="7" xfId="0" applyNumberFormat="1" applyFont="1" applyBorder="1" applyAlignment="1">
      <alignment horizontal="right" indent="1"/>
    </xf>
    <xf numFmtId="165" fontId="2" fillId="0" borderId="0" xfId="0" applyNumberFormat="1" applyFont="1" applyBorder="1" applyAlignment="1">
      <alignment horizontal="right" indent="1"/>
    </xf>
    <xf numFmtId="165" fontId="2" fillId="0" borderId="8" xfId="0" applyNumberFormat="1" applyFont="1" applyBorder="1" applyAlignment="1">
      <alignment horizontal="right" indent="1"/>
    </xf>
    <xf numFmtId="165" fontId="2" fillId="0" borderId="0" xfId="0" applyNumberFormat="1" applyFont="1" applyFill="1" applyAlignment="1">
      <alignment horizontal="right" indent="1"/>
    </xf>
    <xf numFmtId="165" fontId="2" fillId="0" borderId="8" xfId="0" applyNumberFormat="1" applyFont="1" applyFill="1" applyBorder="1" applyAlignment="1">
      <alignment horizontal="right" indent="1"/>
    </xf>
    <xf numFmtId="165" fontId="2" fillId="0" borderId="0" xfId="0" applyNumberFormat="1" applyFont="1" applyFill="1"/>
    <xf numFmtId="167" fontId="2" fillId="0" borderId="0" xfId="0" applyNumberFormat="1" applyFont="1" applyFill="1"/>
    <xf numFmtId="49" fontId="9" fillId="0" borderId="0" xfId="0" applyNumberFormat="1" applyFont="1" applyBorder="1" applyAlignment="1" applyProtection="1">
      <alignment horizontal="left" indent="1"/>
    </xf>
    <xf numFmtId="166" fontId="2" fillId="0" borderId="0" xfId="0" applyNumberFormat="1" applyFont="1" applyBorder="1" applyAlignment="1">
      <alignment horizontal="right" indent="1"/>
    </xf>
    <xf numFmtId="166" fontId="2" fillId="0" borderId="8" xfId="0" applyNumberFormat="1" applyFont="1" applyBorder="1" applyAlignment="1">
      <alignment horizontal="right" indent="1"/>
    </xf>
    <xf numFmtId="166" fontId="2" fillId="0" borderId="7" xfId="0" applyNumberFormat="1" applyFont="1" applyBorder="1" applyAlignment="1">
      <alignment horizontal="right" indent="1"/>
    </xf>
    <xf numFmtId="0" fontId="2" fillId="0" borderId="7" xfId="0" applyFont="1" applyBorder="1" applyAlignment="1">
      <alignment horizontal="right" indent="1"/>
    </xf>
    <xf numFmtId="165" fontId="2" fillId="0" borderId="0" xfId="0" applyNumberFormat="1" applyFont="1" applyAlignment="1">
      <alignment horizontal="right" indent="1"/>
    </xf>
    <xf numFmtId="0" fontId="2" fillId="0" borderId="8" xfId="0" applyFont="1" applyFill="1" applyBorder="1" applyAlignment="1">
      <alignment horizontal="right" indent="1"/>
    </xf>
    <xf numFmtId="49" fontId="9" fillId="0" borderId="0" xfId="0" applyNumberFormat="1" applyFont="1" applyBorder="1" applyAlignment="1">
      <alignment horizontal="left" indent="1"/>
    </xf>
    <xf numFmtId="49" fontId="2" fillId="0" borderId="0" xfId="0" applyNumberFormat="1" applyFont="1" applyAlignment="1">
      <alignment horizontal="left" wrapText="1" indent="1"/>
    </xf>
    <xf numFmtId="49" fontId="2" fillId="0" borderId="0" xfId="0" applyNumberFormat="1" applyFont="1" applyAlignment="1" applyProtection="1">
      <alignment horizontal="left" indent="1"/>
    </xf>
    <xf numFmtId="49" fontId="9" fillId="0" borderId="0" xfId="0" applyNumberFormat="1" applyFont="1" applyAlignment="1">
      <alignment horizontal="left" wrapText="1" indent="1"/>
    </xf>
    <xf numFmtId="167" fontId="2" fillId="0" borderId="7" xfId="0" applyNumberFormat="1" applyFont="1" applyBorder="1" applyAlignment="1">
      <alignment horizontal="right" indent="1"/>
    </xf>
    <xf numFmtId="165" fontId="2" fillId="0" borderId="0" xfId="0" applyNumberFormat="1" applyFont="1"/>
    <xf numFmtId="165" fontId="8" fillId="0" borderId="0" xfId="0" applyNumberFormat="1" applyFont="1"/>
    <xf numFmtId="0" fontId="2" fillId="0" borderId="0" xfId="0" applyFont="1" applyAlignment="1">
      <alignment horizontal="left" vertical="center"/>
    </xf>
    <xf numFmtId="0" fontId="13" fillId="0" borderId="0" xfId="0" applyFont="1" applyAlignment="1"/>
    <xf numFmtId="0" fontId="2" fillId="0" borderId="0" xfId="0" applyFont="1" applyAlignment="1">
      <alignment vertical="center"/>
    </xf>
    <xf numFmtId="0" fontId="2" fillId="0" borderId="0" xfId="0" applyFont="1" applyAlignment="1">
      <alignment horizontal="left"/>
    </xf>
    <xf numFmtId="0" fontId="2" fillId="0" borderId="0" xfId="0" applyFont="1" applyAlignment="1">
      <alignment horizontal="center" wrapText="1"/>
    </xf>
    <xf numFmtId="0" fontId="11" fillId="0" borderId="0" xfId="0" applyFont="1" applyAlignment="1">
      <alignment vertical="center"/>
    </xf>
    <xf numFmtId="0" fontId="14" fillId="0" borderId="0" xfId="5" applyFont="1" applyAlignment="1" applyProtection="1">
      <alignment horizontal="center"/>
    </xf>
    <xf numFmtId="0" fontId="14" fillId="0" borderId="0" xfId="5" applyFont="1" applyAlignment="1">
      <alignment horizontal="left"/>
    </xf>
    <xf numFmtId="0" fontId="7" fillId="0" borderId="0" xfId="0" applyFont="1" applyAlignment="1">
      <alignment horizontal="left"/>
    </xf>
    <xf numFmtId="0" fontId="9" fillId="0" borderId="0" xfId="0" applyFont="1" applyAlignment="1">
      <alignment horizontal="left" vertical="top"/>
    </xf>
    <xf numFmtId="0" fontId="9" fillId="0" borderId="0" xfId="0" applyFont="1" applyAlignment="1"/>
    <xf numFmtId="0" fontId="2" fillId="0" borderId="0" xfId="0" applyFont="1" applyAlignment="1"/>
    <xf numFmtId="0" fontId="7" fillId="0" borderId="0" xfId="0" applyFont="1" applyAlignment="1"/>
    <xf numFmtId="0" fontId="9" fillId="0" borderId="0" xfId="0" applyFont="1" applyAlignment="1">
      <alignment vertical="top"/>
    </xf>
    <xf numFmtId="0" fontId="15" fillId="0" borderId="0" xfId="5" applyFont="1" applyAlignment="1" applyProtection="1">
      <alignment horizontal="center" vertical="center"/>
    </xf>
    <xf numFmtId="0" fontId="14" fillId="0" borderId="0" xfId="5" applyFont="1" applyAlignment="1" applyProtection="1">
      <alignment horizontal="center" wrapText="1"/>
    </xf>
    <xf numFmtId="0" fontId="2" fillId="0" borderId="0" xfId="0" applyFont="1" applyAlignment="1">
      <alignment horizontal="left" vertical="top"/>
    </xf>
    <xf numFmtId="0" fontId="2" fillId="0" borderId="0" xfId="0" applyFont="1" applyAlignment="1">
      <alignment vertical="top"/>
    </xf>
    <xf numFmtId="0" fontId="14" fillId="0" borderId="0" xfId="5" applyFont="1" applyAlignment="1" applyProtection="1">
      <alignment horizontal="center" vertical="center"/>
    </xf>
    <xf numFmtId="0" fontId="14" fillId="0" borderId="0" xfId="5" applyFont="1" applyAlignment="1" applyProtection="1">
      <alignment horizontal="center" vertical="center" wrapText="1"/>
    </xf>
    <xf numFmtId="0" fontId="15" fillId="0" borderId="0" xfId="5" applyFont="1" applyAlignment="1" applyProtection="1">
      <alignment horizontal="center" vertical="center" wrapText="1"/>
    </xf>
    <xf numFmtId="0" fontId="2" fillId="0" borderId="0" xfId="0" applyFont="1" applyAlignment="1">
      <alignment horizontal="center" vertical="center" wrapText="1"/>
    </xf>
    <xf numFmtId="0" fontId="13" fillId="0" borderId="0" xfId="0" applyFont="1" applyAlignment="1">
      <alignment horizontal="left" vertical="top"/>
    </xf>
    <xf numFmtId="0" fontId="8" fillId="0" borderId="0" xfId="0" applyFont="1"/>
    <xf numFmtId="0" fontId="8" fillId="0" borderId="0" xfId="0" applyFont="1" applyAlignment="1"/>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49" fontId="7" fillId="0" borderId="6" xfId="0" applyNumberFormat="1" applyFont="1" applyBorder="1" applyAlignment="1"/>
    <xf numFmtId="165" fontId="17" fillId="0" borderId="4" xfId="0" applyNumberFormat="1" applyFont="1" applyBorder="1" applyAlignment="1">
      <alignment horizontal="right" indent="1"/>
    </xf>
    <xf numFmtId="165" fontId="17" fillId="0" borderId="0" xfId="0" applyNumberFormat="1" applyFont="1"/>
    <xf numFmtId="49" fontId="11" fillId="0" borderId="6" xfId="0" applyNumberFormat="1" applyFont="1" applyBorder="1" applyAlignment="1">
      <alignment vertical="center"/>
    </xf>
    <xf numFmtId="0" fontId="8" fillId="0" borderId="0" xfId="0" applyFont="1" applyBorder="1"/>
    <xf numFmtId="0" fontId="7" fillId="0" borderId="0" xfId="0" applyFont="1" applyBorder="1" applyAlignment="1">
      <alignment vertical="center"/>
    </xf>
    <xf numFmtId="0" fontId="7" fillId="0" borderId="0" xfId="0" applyFont="1" applyBorder="1" applyAlignment="1">
      <alignment horizontal="center" vertical="center"/>
    </xf>
    <xf numFmtId="165" fontId="8" fillId="0" borderId="0" xfId="0" applyNumberFormat="1" applyFont="1" applyBorder="1"/>
    <xf numFmtId="0" fontId="2" fillId="0" borderId="0" xfId="0" applyFont="1" applyBorder="1" applyAlignment="1">
      <alignment horizontal="center"/>
    </xf>
    <xf numFmtId="0" fontId="2" fillId="0" borderId="0" xfId="0" applyFont="1" applyBorder="1" applyAlignment="1" applyProtection="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pplyProtection="1">
      <alignment horizontal="center" vertical="center"/>
    </xf>
    <xf numFmtId="165" fontId="7" fillId="0" borderId="0" xfId="0" applyNumberFormat="1" applyFont="1" applyBorder="1"/>
    <xf numFmtId="0" fontId="7" fillId="0" borderId="0" xfId="0" applyFont="1" applyBorder="1"/>
    <xf numFmtId="167" fontId="8" fillId="0" borderId="0" xfId="0" applyNumberFormat="1" applyFont="1" applyBorder="1"/>
    <xf numFmtId="0" fontId="2" fillId="0" borderId="0" xfId="0" applyFont="1" applyBorder="1" applyAlignment="1" applyProtection="1">
      <alignment horizontal="left"/>
    </xf>
    <xf numFmtId="0" fontId="8" fillId="0" borderId="0" xfId="0" applyFont="1" applyBorder="1" applyAlignment="1">
      <alignment horizontal="center"/>
    </xf>
    <xf numFmtId="49" fontId="2" fillId="0" borderId="0" xfId="0" applyNumberFormat="1" applyFont="1" applyFill="1" applyBorder="1" applyAlignment="1">
      <alignment horizontal="left"/>
    </xf>
    <xf numFmtId="49" fontId="8" fillId="0" borderId="0" xfId="0" applyNumberFormat="1" applyFont="1" applyAlignment="1"/>
    <xf numFmtId="49" fontId="9" fillId="0" borderId="0" xfId="0" applyNumberFormat="1" applyFont="1" applyFill="1" applyBorder="1" applyAlignment="1">
      <alignment horizontal="left"/>
    </xf>
    <xf numFmtId="0" fontId="18" fillId="0" borderId="0" xfId="0" applyFont="1" applyAlignment="1"/>
    <xf numFmtId="0" fontId="8" fillId="0" borderId="0" xfId="0" applyFont="1" applyAlignment="1">
      <alignment horizontal="center"/>
    </xf>
    <xf numFmtId="0" fontId="23" fillId="0" borderId="16" xfId="0" applyNumberFormat="1"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167" fontId="7" fillId="0" borderId="0" xfId="2" applyNumberFormat="1" applyFont="1" applyBorder="1" applyAlignment="1" applyProtection="1"/>
    <xf numFmtId="0" fontId="24" fillId="0" borderId="13" xfId="0" applyFont="1" applyBorder="1" applyAlignment="1">
      <alignment horizontal="right" indent="1"/>
    </xf>
    <xf numFmtId="0" fontId="24" fillId="0" borderId="7" xfId="0" applyFont="1" applyBorder="1" applyAlignment="1">
      <alignment horizontal="right" indent="1"/>
    </xf>
    <xf numFmtId="167" fontId="24" fillId="0" borderId="13" xfId="0" applyNumberFormat="1" applyFont="1" applyBorder="1" applyAlignment="1">
      <alignment horizontal="right" indent="1"/>
    </xf>
    <xf numFmtId="166" fontId="17" fillId="0" borderId="24" xfId="0" applyNumberFormat="1" applyFont="1" applyBorder="1" applyAlignment="1">
      <alignment horizontal="right" indent="1"/>
    </xf>
    <xf numFmtId="49" fontId="25" fillId="0" borderId="0" xfId="0" applyNumberFormat="1" applyFont="1" applyBorder="1"/>
    <xf numFmtId="167" fontId="24" fillId="0" borderId="7" xfId="0" applyNumberFormat="1" applyFont="1" applyBorder="1" applyAlignment="1">
      <alignment horizontal="right" indent="1"/>
    </xf>
    <xf numFmtId="167" fontId="24" fillId="0" borderId="6" xfId="0" applyNumberFormat="1" applyFont="1" applyBorder="1" applyAlignment="1">
      <alignment horizontal="right" indent="1"/>
    </xf>
    <xf numFmtId="0" fontId="8" fillId="0" borderId="8" xfId="0" applyFont="1" applyBorder="1" applyAlignment="1">
      <alignment horizontal="right" indent="1"/>
    </xf>
    <xf numFmtId="0" fontId="2" fillId="0" borderId="0" xfId="2" applyFont="1" applyFill="1" applyBorder="1" applyAlignment="1">
      <alignment horizontal="left" indent="1"/>
    </xf>
    <xf numFmtId="0" fontId="23" fillId="0" borderId="7" xfId="0" applyFont="1" applyBorder="1" applyAlignment="1">
      <alignment horizontal="right" indent="1"/>
    </xf>
    <xf numFmtId="167" fontId="23" fillId="0" borderId="7" xfId="0" applyNumberFormat="1" applyFont="1" applyBorder="1" applyAlignment="1">
      <alignment horizontal="right" indent="1"/>
    </xf>
    <xf numFmtId="167" fontId="23" fillId="0" borderId="6" xfId="0" applyNumberFormat="1" applyFont="1" applyBorder="1" applyAlignment="1">
      <alignment horizontal="right" indent="1"/>
    </xf>
    <xf numFmtId="166" fontId="8" fillId="0" borderId="8" xfId="0" applyNumberFormat="1" applyFont="1" applyBorder="1" applyAlignment="1">
      <alignment horizontal="right" indent="1"/>
    </xf>
    <xf numFmtId="49" fontId="21" fillId="0" borderId="0" xfId="0" applyNumberFormat="1" applyFont="1" applyBorder="1" applyAlignment="1">
      <alignment horizontal="left" vertical="top" indent="1"/>
    </xf>
    <xf numFmtId="0" fontId="8" fillId="0" borderId="7" xfId="0" applyFont="1" applyBorder="1" applyAlignment="1">
      <alignment horizontal="right" indent="1"/>
    </xf>
    <xf numFmtId="0" fontId="8" fillId="0" borderId="0" xfId="0" applyFont="1" applyAlignment="1">
      <alignment vertical="center"/>
    </xf>
    <xf numFmtId="49" fontId="21" fillId="0" borderId="0" xfId="0" applyNumberFormat="1" applyFont="1" applyBorder="1" applyAlignment="1">
      <alignment horizontal="left" vertical="top" wrapText="1" indent="1"/>
    </xf>
    <xf numFmtId="0" fontId="2" fillId="0" borderId="0" xfId="2" applyFont="1" applyBorder="1" applyAlignment="1">
      <alignment horizontal="left" indent="1"/>
    </xf>
    <xf numFmtId="49" fontId="21" fillId="0" borderId="0" xfId="0" applyNumberFormat="1" applyFont="1" applyBorder="1" applyAlignment="1">
      <alignment vertical="top" wrapText="1"/>
    </xf>
    <xf numFmtId="0" fontId="8" fillId="0" borderId="0" xfId="0" applyFont="1" applyBorder="1" applyAlignment="1">
      <alignment horizontal="right" indent="1"/>
    </xf>
    <xf numFmtId="167" fontId="8" fillId="0" borderId="0" xfId="0" applyNumberFormat="1" applyFont="1" applyBorder="1" applyAlignment="1">
      <alignment horizontal="right" indent="1"/>
    </xf>
    <xf numFmtId="166" fontId="8" fillId="0" borderId="0" xfId="0" applyNumberFormat="1" applyFont="1" applyBorder="1" applyAlignment="1">
      <alignment horizontal="right" indent="1"/>
    </xf>
    <xf numFmtId="0" fontId="17" fillId="0" borderId="0" xfId="0" applyFont="1"/>
    <xf numFmtId="0" fontId="17" fillId="0" borderId="0" xfId="0" applyFont="1" applyBorder="1"/>
    <xf numFmtId="166" fontId="17" fillId="0" borderId="0" xfId="0" applyNumberFormat="1" applyFont="1"/>
    <xf numFmtId="49" fontId="7" fillId="0" borderId="23" xfId="0" applyNumberFormat="1" applyFont="1" applyBorder="1" applyAlignment="1" applyProtection="1">
      <alignment horizontal="left"/>
    </xf>
    <xf numFmtId="165" fontId="17" fillId="0" borderId="0" xfId="0" applyNumberFormat="1" applyFont="1" applyAlignment="1">
      <alignment horizontal="right" indent="1"/>
    </xf>
    <xf numFmtId="49" fontId="11" fillId="0" borderId="6" xfId="0" applyNumberFormat="1" applyFont="1" applyBorder="1" applyAlignment="1" applyProtection="1">
      <alignment horizontal="left" vertical="center"/>
    </xf>
    <xf numFmtId="0" fontId="7" fillId="0" borderId="0" xfId="0" applyFont="1" applyAlignment="1">
      <alignment vertical="center"/>
    </xf>
    <xf numFmtId="49" fontId="2" fillId="0" borderId="6" xfId="0" applyNumberFormat="1" applyFont="1" applyBorder="1" applyAlignment="1" applyProtection="1">
      <alignment horizontal="left" indent="1"/>
    </xf>
    <xf numFmtId="165" fontId="8" fillId="0" borderId="0" xfId="0" applyNumberFormat="1" applyFont="1" applyAlignment="1">
      <alignment horizontal="right" indent="1"/>
    </xf>
    <xf numFmtId="165" fontId="8" fillId="0" borderId="7" xfId="0" applyNumberFormat="1" applyFont="1" applyBorder="1" applyAlignment="1">
      <alignment horizontal="right" indent="1"/>
    </xf>
    <xf numFmtId="165" fontId="8" fillId="0" borderId="8" xfId="0" applyNumberFormat="1" applyFont="1" applyBorder="1" applyAlignment="1">
      <alignment horizontal="right" indent="1"/>
    </xf>
    <xf numFmtId="0" fontId="8" fillId="0" borderId="6" xfId="0" applyFont="1" applyBorder="1"/>
    <xf numFmtId="0" fontId="18" fillId="0" borderId="0" xfId="0" applyFont="1"/>
    <xf numFmtId="166" fontId="8" fillId="0" borderId="0" xfId="0" applyNumberFormat="1" applyFont="1"/>
    <xf numFmtId="165" fontId="2" fillId="0" borderId="16" xfId="2" applyNumberFormat="1" applyFont="1" applyBorder="1" applyAlignment="1">
      <alignment horizontal="center" vertical="center" wrapText="1"/>
    </xf>
    <xf numFmtId="165" fontId="2" fillId="0" borderId="4" xfId="2" applyNumberFormat="1" applyFont="1" applyBorder="1" applyAlignment="1">
      <alignment horizontal="center" vertical="center" wrapText="1"/>
    </xf>
    <xf numFmtId="165" fontId="2" fillId="0" borderId="17" xfId="2" applyNumberFormat="1" applyFont="1" applyBorder="1" applyAlignment="1">
      <alignment horizontal="center" vertical="center" wrapText="1"/>
    </xf>
    <xf numFmtId="0" fontId="7" fillId="0" borderId="0" xfId="3" applyFont="1" applyBorder="1" applyAlignment="1">
      <alignment horizontal="left" wrapText="1"/>
    </xf>
    <xf numFmtId="0" fontId="7" fillId="0" borderId="0" xfId="3" applyFont="1" applyBorder="1" applyAlignment="1">
      <alignment horizontal="center" wrapText="1"/>
    </xf>
    <xf numFmtId="165" fontId="7" fillId="0" borderId="24" xfId="0" applyNumberFormat="1" applyFont="1" applyBorder="1" applyAlignment="1">
      <alignment horizontal="right" indent="1"/>
    </xf>
    <xf numFmtId="49" fontId="11" fillId="0" borderId="0" xfId="0" applyNumberFormat="1" applyFont="1" applyBorder="1" applyAlignment="1" applyProtection="1">
      <alignment horizontal="left" vertical="center"/>
    </xf>
    <xf numFmtId="0" fontId="2" fillId="0" borderId="0" xfId="3" applyFont="1" applyBorder="1" applyAlignment="1">
      <alignment wrapText="1"/>
    </xf>
    <xf numFmtId="167" fontId="8" fillId="0" borderId="0" xfId="0" applyNumberFormat="1" applyFont="1"/>
    <xf numFmtId="165" fontId="17" fillId="0" borderId="7" xfId="0" applyNumberFormat="1" applyFont="1" applyBorder="1" applyAlignment="1">
      <alignment horizontal="right" indent="1"/>
    </xf>
    <xf numFmtId="165" fontId="17" fillId="0" borderId="0" xfId="0" applyNumberFormat="1" applyFont="1" applyBorder="1" applyAlignment="1">
      <alignment horizontal="right" indent="1"/>
    </xf>
    <xf numFmtId="165" fontId="17" fillId="0" borderId="8" xfId="0" applyNumberFormat="1" applyFont="1" applyBorder="1" applyAlignment="1">
      <alignment horizontal="right" indent="1"/>
    </xf>
    <xf numFmtId="0" fontId="2" fillId="0" borderId="0" xfId="3" applyFont="1" applyBorder="1" applyAlignment="1">
      <alignment horizontal="left" wrapText="1" indent="1"/>
    </xf>
    <xf numFmtId="0" fontId="2" fillId="0" borderId="6" xfId="3" applyFont="1" applyBorder="1" applyAlignment="1">
      <alignment horizontal="center" wrapText="1"/>
    </xf>
    <xf numFmtId="165" fontId="8" fillId="0" borderId="0" xfId="0" applyNumberFormat="1" applyFont="1" applyBorder="1" applyAlignment="1">
      <alignment horizontal="right" indent="1"/>
    </xf>
    <xf numFmtId="165" fontId="2" fillId="0" borderId="8" xfId="4" applyNumberFormat="1" applyFont="1" applyBorder="1" applyAlignment="1" applyProtection="1">
      <alignment horizontal="right" indent="1"/>
    </xf>
    <xf numFmtId="165" fontId="2" fillId="0" borderId="7" xfId="4" applyNumberFormat="1" applyFont="1" applyBorder="1" applyAlignment="1" applyProtection="1">
      <alignment horizontal="right" indent="1"/>
    </xf>
    <xf numFmtId="165" fontId="2" fillId="0" borderId="8" xfId="2" applyNumberFormat="1" applyFont="1" applyBorder="1" applyAlignment="1">
      <alignment horizontal="right" indent="1"/>
    </xf>
    <xf numFmtId="165" fontId="8" fillId="0" borderId="0" xfId="2" applyNumberFormat="1" applyFont="1" applyBorder="1" applyAlignment="1">
      <alignment horizontal="right" indent="1"/>
    </xf>
    <xf numFmtId="165" fontId="2" fillId="0" borderId="0" xfId="4" applyNumberFormat="1" applyFont="1" applyBorder="1" applyAlignment="1" applyProtection="1">
      <alignment horizontal="right" indent="1"/>
    </xf>
    <xf numFmtId="165" fontId="2" fillId="0" borderId="7" xfId="2" applyNumberFormat="1" applyFont="1" applyBorder="1" applyAlignment="1">
      <alignment horizontal="right" indent="1"/>
    </xf>
    <xf numFmtId="165" fontId="2" fillId="0" borderId="0" xfId="2" applyNumberFormat="1" applyFont="1" applyBorder="1" applyAlignment="1">
      <alignment horizontal="right" indent="1"/>
    </xf>
    <xf numFmtId="167" fontId="8" fillId="0" borderId="8" xfId="0" applyNumberFormat="1" applyFont="1" applyBorder="1" applyAlignment="1">
      <alignment horizontal="right" indent="1"/>
    </xf>
    <xf numFmtId="165" fontId="8" fillId="0" borderId="8" xfId="2" applyNumberFormat="1" applyFont="1" applyBorder="1" applyAlignment="1">
      <alignment horizontal="right" indent="1"/>
    </xf>
    <xf numFmtId="165" fontId="2" fillId="0" borderId="6" xfId="2" applyNumberFormat="1" applyFont="1" applyBorder="1" applyAlignment="1">
      <alignment horizontal="right" indent="1"/>
    </xf>
    <xf numFmtId="165" fontId="8" fillId="0" borderId="6" xfId="0" applyNumberFormat="1" applyFont="1" applyBorder="1" applyAlignment="1">
      <alignment horizontal="right" indent="1"/>
    </xf>
    <xf numFmtId="0" fontId="2" fillId="0" borderId="0" xfId="2" applyFont="1" applyBorder="1"/>
    <xf numFmtId="0" fontId="2" fillId="0" borderId="16" xfId="2" applyFont="1" applyBorder="1" applyAlignment="1">
      <alignment horizontal="center" vertical="center" wrapText="1"/>
    </xf>
    <xf numFmtId="49" fontId="7" fillId="0" borderId="0" xfId="0" applyNumberFormat="1" applyFont="1" applyBorder="1" applyAlignment="1"/>
    <xf numFmtId="165" fontId="7" fillId="0" borderId="7" xfId="0" quotePrefix="1" applyNumberFormat="1" applyFont="1" applyBorder="1" applyAlignment="1" applyProtection="1">
      <alignment horizontal="right" indent="1"/>
    </xf>
    <xf numFmtId="2" fontId="7" fillId="0" borderId="0" xfId="0" applyNumberFormat="1" applyFont="1" applyBorder="1" applyAlignment="1">
      <alignment horizontal="left"/>
    </xf>
    <xf numFmtId="171" fontId="11" fillId="0" borderId="0" xfId="0" applyNumberFormat="1" applyFont="1" applyBorder="1" applyAlignment="1">
      <alignment horizontal="left"/>
    </xf>
    <xf numFmtId="49" fontId="7" fillId="0" borderId="0" xfId="0" applyNumberFormat="1" applyFont="1" applyBorder="1" applyAlignment="1">
      <alignment horizontal="left" indent="2"/>
    </xf>
    <xf numFmtId="171" fontId="11" fillId="0" borderId="0" xfId="0" applyNumberFormat="1" applyFont="1" applyBorder="1" applyAlignment="1">
      <alignment horizontal="left" indent="2"/>
    </xf>
    <xf numFmtId="49" fontId="2" fillId="0" borderId="0" xfId="0" applyNumberFormat="1" applyFont="1" applyBorder="1" applyAlignment="1">
      <alignment horizontal="left" indent="3"/>
    </xf>
    <xf numFmtId="165" fontId="8" fillId="0" borderId="7" xfId="0" applyNumberFormat="1" applyFont="1" applyBorder="1"/>
    <xf numFmtId="171" fontId="9" fillId="0" borderId="0" xfId="0" applyNumberFormat="1" applyFont="1" applyBorder="1" applyAlignment="1">
      <alignment horizontal="left" indent="3"/>
    </xf>
    <xf numFmtId="165" fontId="8" fillId="0" borderId="7" xfId="0" applyNumberFormat="1" applyFont="1" applyBorder="1" applyAlignment="1">
      <alignment horizontal="right"/>
    </xf>
    <xf numFmtId="165" fontId="2" fillId="0" borderId="7" xfId="0" applyNumberFormat="1" applyFont="1" applyBorder="1" applyAlignment="1" applyProtection="1">
      <alignment horizontal="right" indent="1"/>
    </xf>
    <xf numFmtId="171" fontId="9" fillId="0" borderId="0" xfId="0" applyNumberFormat="1" applyFont="1" applyBorder="1" applyAlignment="1">
      <alignment horizontal="left" vertical="center" indent="3"/>
    </xf>
    <xf numFmtId="171" fontId="9" fillId="0" borderId="0" xfId="0" applyNumberFormat="1" applyFont="1" applyBorder="1" applyAlignment="1">
      <alignment horizontal="left" vertical="top" indent="3"/>
    </xf>
    <xf numFmtId="167" fontId="9" fillId="0" borderId="0" xfId="0" applyNumberFormat="1" applyFont="1" applyBorder="1" applyAlignment="1">
      <alignment horizontal="left" indent="3"/>
    </xf>
    <xf numFmtId="49" fontId="2" fillId="0" borderId="0" xfId="0" applyNumberFormat="1" applyFont="1" applyBorder="1" applyAlignment="1">
      <alignment horizontal="left" wrapText="1" indent="3"/>
    </xf>
    <xf numFmtId="165" fontId="2" fillId="0" borderId="7" xfId="0" quotePrefix="1" applyNumberFormat="1" applyFont="1" applyBorder="1" applyAlignment="1" applyProtection="1">
      <alignment horizontal="right" indent="1"/>
    </xf>
    <xf numFmtId="49" fontId="9" fillId="0" borderId="0" xfId="0" applyNumberFormat="1" applyFont="1" applyBorder="1" applyAlignment="1">
      <alignment horizontal="left" wrapText="1" indent="3"/>
    </xf>
    <xf numFmtId="171" fontId="9" fillId="0" borderId="0" xfId="0" applyNumberFormat="1" applyFont="1" applyBorder="1" applyAlignment="1">
      <alignment horizontal="left" wrapText="1" indent="3"/>
    </xf>
    <xf numFmtId="49" fontId="7" fillId="0" borderId="0" xfId="0" applyNumberFormat="1" applyFont="1" applyBorder="1" applyAlignment="1">
      <alignment horizontal="left"/>
    </xf>
    <xf numFmtId="49" fontId="9" fillId="0" borderId="0" xfId="0" applyNumberFormat="1" applyFont="1" applyBorder="1" applyAlignment="1" applyProtection="1">
      <alignment horizontal="left" wrapText="1" indent="3"/>
    </xf>
    <xf numFmtId="49" fontId="2" fillId="0" borderId="0" xfId="0" applyNumberFormat="1" applyFont="1" applyBorder="1" applyAlignment="1" applyProtection="1">
      <alignment horizontal="left" wrapText="1" indent="3"/>
    </xf>
    <xf numFmtId="171" fontId="18" fillId="0" borderId="0" xfId="0" applyNumberFormat="1" applyFont="1" applyAlignment="1">
      <alignment horizontal="left" wrapText="1" indent="3"/>
    </xf>
    <xf numFmtId="49" fontId="2" fillId="0" borderId="0" xfId="0" applyNumberFormat="1" applyFont="1" applyBorder="1" applyAlignment="1" applyProtection="1">
      <alignment horizontal="left" indent="3"/>
    </xf>
    <xf numFmtId="171" fontId="9" fillId="0" borderId="0" xfId="0" applyNumberFormat="1" applyFont="1" applyAlignment="1">
      <alignment horizontal="left" indent="3"/>
    </xf>
    <xf numFmtId="165" fontId="8" fillId="0" borderId="8" xfId="0" applyNumberFormat="1" applyFont="1" applyBorder="1"/>
    <xf numFmtId="171" fontId="8" fillId="0" borderId="0" xfId="0" applyNumberFormat="1" applyFont="1"/>
    <xf numFmtId="0" fontId="8" fillId="0" borderId="6" xfId="0" applyFont="1" applyBorder="1" applyAlignment="1">
      <alignment horizontal="center" vertical="center" wrapText="1"/>
    </xf>
    <xf numFmtId="165" fontId="7" fillId="0" borderId="7" xfId="0" applyNumberFormat="1" applyFont="1" applyFill="1" applyBorder="1" applyAlignment="1">
      <alignment horizontal="right" indent="1"/>
    </xf>
    <xf numFmtId="165" fontId="7" fillId="0" borderId="6" xfId="0" applyNumberFormat="1" applyFont="1" applyFill="1" applyBorder="1" applyAlignment="1">
      <alignment horizontal="right" indent="1"/>
    </xf>
    <xf numFmtId="165" fontId="7" fillId="0" borderId="0" xfId="0" applyNumberFormat="1" applyFont="1" applyFill="1" applyAlignment="1">
      <alignment horizontal="right" indent="1"/>
    </xf>
    <xf numFmtId="171" fontId="7" fillId="0" borderId="0" xfId="0" applyNumberFormat="1" applyFont="1" applyAlignment="1"/>
    <xf numFmtId="49" fontId="11" fillId="0" borderId="6" xfId="0" applyNumberFormat="1" applyFont="1" applyBorder="1" applyAlignment="1"/>
    <xf numFmtId="49" fontId="7" fillId="0" borderId="6" xfId="0" applyNumberFormat="1" applyFont="1" applyBorder="1" applyAlignment="1">
      <alignment horizontal="left"/>
    </xf>
    <xf numFmtId="171" fontId="7" fillId="0" borderId="0" xfId="0" applyNumberFormat="1" applyFont="1" applyBorder="1" applyAlignment="1"/>
    <xf numFmtId="165" fontId="7" fillId="0" borderId="0" xfId="0" applyNumberFormat="1" applyFont="1" applyFill="1" applyBorder="1" applyAlignment="1">
      <alignment horizontal="right" indent="1"/>
    </xf>
    <xf numFmtId="49" fontId="7" fillId="0" borderId="6" xfId="0" applyNumberFormat="1" applyFont="1" applyBorder="1" applyAlignment="1">
      <alignment horizontal="left" indent="2"/>
    </xf>
    <xf numFmtId="49" fontId="2" fillId="0" borderId="6" xfId="0" applyNumberFormat="1" applyFont="1" applyBorder="1" applyAlignment="1">
      <alignment horizontal="left" indent="3"/>
    </xf>
    <xf numFmtId="165" fontId="2" fillId="0" borderId="7" xfId="0" applyNumberFormat="1" applyFont="1" applyFill="1" applyBorder="1" applyAlignment="1">
      <alignment horizontal="right" indent="1"/>
    </xf>
    <xf numFmtId="165" fontId="2" fillId="0" borderId="6" xfId="0" applyNumberFormat="1" applyFont="1" applyFill="1" applyBorder="1" applyAlignment="1">
      <alignment horizontal="right" indent="1"/>
    </xf>
    <xf numFmtId="171" fontId="8" fillId="0" borderId="0" xfId="0" applyNumberFormat="1" applyFont="1" applyAlignment="1"/>
    <xf numFmtId="171" fontId="8" fillId="0" borderId="0" xfId="0" applyNumberFormat="1" applyFont="1" applyAlignment="1">
      <alignment horizontal="left" indent="2"/>
    </xf>
    <xf numFmtId="165" fontId="2" fillId="0" borderId="0" xfId="0" applyNumberFormat="1" applyFont="1" applyFill="1" applyBorder="1" applyAlignment="1">
      <alignment horizontal="right" indent="1"/>
    </xf>
    <xf numFmtId="171" fontId="28" fillId="0" borderId="7" xfId="0" applyNumberFormat="1" applyFont="1" applyBorder="1" applyAlignment="1">
      <alignment horizontal="left"/>
    </xf>
    <xf numFmtId="171" fontId="28" fillId="0" borderId="0" xfId="0" applyNumberFormat="1" applyFont="1" applyBorder="1" applyAlignment="1">
      <alignment horizontal="left"/>
    </xf>
    <xf numFmtId="171" fontId="28" fillId="0" borderId="8" xfId="0" applyNumberFormat="1" applyFont="1" applyBorder="1" applyAlignment="1">
      <alignment horizontal="left"/>
    </xf>
    <xf numFmtId="49" fontId="2" fillId="0" borderId="6" xfId="0" applyNumberFormat="1" applyFont="1" applyBorder="1" applyAlignment="1">
      <alignment horizontal="left" wrapText="1" indent="3"/>
    </xf>
    <xf numFmtId="49" fontId="9" fillId="0" borderId="6" xfId="0" applyNumberFormat="1" applyFont="1" applyBorder="1" applyAlignment="1">
      <alignment horizontal="left" wrapText="1" indent="3"/>
    </xf>
    <xf numFmtId="171" fontId="9" fillId="0" borderId="0" xfId="0" applyNumberFormat="1" applyFont="1" applyBorder="1" applyAlignment="1">
      <alignment horizontal="left" indent="3" shrinkToFit="1"/>
    </xf>
    <xf numFmtId="49" fontId="9" fillId="0" borderId="6" xfId="0" applyNumberFormat="1" applyFont="1" applyBorder="1" applyAlignment="1" applyProtection="1">
      <alignment horizontal="left" wrapText="1" indent="3"/>
    </xf>
    <xf numFmtId="49" fontId="2" fillId="0" borderId="6" xfId="0" applyNumberFormat="1" applyFont="1" applyBorder="1" applyAlignment="1" applyProtection="1">
      <alignment horizontal="left" wrapText="1" indent="3"/>
    </xf>
    <xf numFmtId="49" fontId="2" fillId="0" borderId="6" xfId="0" applyNumberFormat="1" applyFont="1" applyBorder="1" applyAlignment="1" applyProtection="1">
      <alignment horizontal="left" indent="3"/>
    </xf>
    <xf numFmtId="171" fontId="9" fillId="0" borderId="6" xfId="0" applyNumberFormat="1" applyFont="1" applyBorder="1" applyAlignment="1">
      <alignment horizontal="left" wrapText="1" indent="3"/>
    </xf>
    <xf numFmtId="49" fontId="2" fillId="0" borderId="0" xfId="0" applyNumberFormat="1" applyFont="1" applyFill="1"/>
    <xf numFmtId="171" fontId="17" fillId="0" borderId="0" xfId="0" applyNumberFormat="1" applyFont="1" applyAlignment="1"/>
    <xf numFmtId="171" fontId="17" fillId="0" borderId="0" xfId="0" applyNumberFormat="1" applyFont="1"/>
    <xf numFmtId="171" fontId="8" fillId="0" borderId="7" xfId="0" applyNumberFormat="1" applyFont="1" applyBorder="1"/>
    <xf numFmtId="165" fontId="2" fillId="0" borderId="7" xfId="0" applyNumberFormat="1" applyFont="1" applyFill="1" applyBorder="1"/>
    <xf numFmtId="171" fontId="2" fillId="0" borderId="0" xfId="0" applyNumberFormat="1" applyFont="1" applyFill="1" applyBorder="1" applyAlignment="1">
      <alignment horizontal="left"/>
    </xf>
    <xf numFmtId="166" fontId="2" fillId="0" borderId="0" xfId="0" applyNumberFormat="1" applyFont="1" applyFill="1" applyBorder="1"/>
    <xf numFmtId="166" fontId="2" fillId="0" borderId="0" xfId="0" applyNumberFormat="1" applyFont="1" applyFill="1"/>
    <xf numFmtId="164" fontId="2" fillId="0" borderId="0" xfId="0" applyNumberFormat="1" applyFont="1" applyFill="1" applyBorder="1" applyAlignment="1">
      <alignment horizontal="left"/>
    </xf>
    <xf numFmtId="166" fontId="2" fillId="0" borderId="0" xfId="0" applyNumberFormat="1" applyFont="1"/>
    <xf numFmtId="1" fontId="2" fillId="0" borderId="16" xfId="2" applyNumberFormat="1" applyFont="1" applyBorder="1" applyAlignment="1">
      <alignment horizontal="center" vertical="center" wrapText="1"/>
    </xf>
    <xf numFmtId="0" fontId="8" fillId="0" borderId="0" xfId="0" applyFont="1" applyBorder="1" applyAlignment="1">
      <alignment horizontal="center" vertical="center"/>
    </xf>
    <xf numFmtId="165" fontId="7" fillId="0" borderId="7" xfId="2" applyNumberFormat="1" applyFont="1" applyBorder="1" applyAlignment="1">
      <alignment horizontal="right" indent="1"/>
    </xf>
    <xf numFmtId="165" fontId="7" fillId="0" borderId="0" xfId="2" applyNumberFormat="1" applyFont="1" applyBorder="1" applyAlignment="1">
      <alignment horizontal="right" indent="1"/>
    </xf>
    <xf numFmtId="49" fontId="13" fillId="0" borderId="0" xfId="0" applyNumberFormat="1" applyFont="1" applyBorder="1" applyAlignment="1">
      <alignment horizontal="left" indent="1"/>
    </xf>
    <xf numFmtId="49" fontId="2" fillId="0" borderId="0" xfId="0" applyNumberFormat="1" applyFont="1" applyBorder="1" applyAlignment="1">
      <alignment horizontal="left" indent="1"/>
    </xf>
    <xf numFmtId="0" fontId="7" fillId="0" borderId="0" xfId="2" applyFont="1" applyFill="1" applyBorder="1" applyAlignment="1">
      <alignment horizontal="left"/>
    </xf>
    <xf numFmtId="0" fontId="2" fillId="0" borderId="0" xfId="2" applyFont="1" applyFill="1" applyBorder="1" applyAlignment="1">
      <alignment horizontal="left" wrapText="1" indent="2"/>
    </xf>
    <xf numFmtId="0" fontId="16" fillId="0" borderId="0" xfId="0" applyNumberFormat="1" applyFont="1" applyAlignment="1">
      <alignment horizontal="left" indent="2"/>
    </xf>
    <xf numFmtId="165" fontId="13" fillId="0" borderId="0" xfId="0" applyNumberFormat="1" applyFont="1" applyBorder="1" applyAlignment="1">
      <alignment horizontal="right" indent="1"/>
    </xf>
    <xf numFmtId="165" fontId="13" fillId="0" borderId="7" xfId="0" applyNumberFormat="1" applyFont="1" applyBorder="1" applyAlignment="1">
      <alignment horizontal="right" indent="1"/>
    </xf>
    <xf numFmtId="165" fontId="8" fillId="0" borderId="8" xfId="0" applyNumberFormat="1" applyFont="1" applyBorder="1" applyAlignment="1">
      <alignment horizontal="right"/>
    </xf>
    <xf numFmtId="49" fontId="16" fillId="0" borderId="0" xfId="0" applyNumberFormat="1" applyFont="1" applyBorder="1" applyAlignment="1">
      <alignment horizontal="left"/>
    </xf>
    <xf numFmtId="165" fontId="2" fillId="0" borderId="7" xfId="0" applyNumberFormat="1" applyFont="1" applyBorder="1" applyAlignment="1">
      <alignment horizontal="left" indent="1"/>
    </xf>
    <xf numFmtId="165" fontId="2" fillId="0" borderId="8" xfId="0" applyNumberFormat="1" applyFont="1" applyBorder="1" applyAlignment="1">
      <alignment horizontal="left" indent="1"/>
    </xf>
    <xf numFmtId="0" fontId="8" fillId="0" borderId="0" xfId="0" applyFont="1" applyBorder="1" applyAlignment="1">
      <alignment horizontal="left" indent="1"/>
    </xf>
    <xf numFmtId="0" fontId="8" fillId="0" borderId="0" xfId="0" applyFont="1" applyAlignment="1">
      <alignment horizontal="left" indent="1"/>
    </xf>
    <xf numFmtId="49" fontId="13" fillId="0" borderId="0" xfId="0" applyNumberFormat="1" applyFont="1" applyAlignment="1">
      <alignment horizontal="left" indent="2"/>
    </xf>
    <xf numFmtId="0" fontId="2" fillId="0" borderId="0" xfId="2" applyFont="1" applyBorder="1" applyAlignment="1">
      <alignment horizontal="left" indent="2"/>
    </xf>
    <xf numFmtId="49" fontId="16" fillId="0" borderId="0" xfId="0" applyNumberFormat="1" applyFont="1" applyBorder="1" applyAlignment="1">
      <alignment horizontal="left" indent="2"/>
    </xf>
    <xf numFmtId="165" fontId="19" fillId="0" borderId="0" xfId="0" applyNumberFormat="1" applyFont="1" applyBorder="1" applyAlignment="1">
      <alignment horizontal="right" indent="1"/>
    </xf>
    <xf numFmtId="165" fontId="19" fillId="0" borderId="7" xfId="0" applyNumberFormat="1" applyFont="1" applyBorder="1" applyAlignment="1">
      <alignment horizontal="right" indent="1"/>
    </xf>
    <xf numFmtId="0" fontId="2" fillId="0" borderId="0" xfId="2" applyFont="1" applyBorder="1" applyAlignment="1">
      <alignment horizontal="left" wrapText="1" indent="2"/>
    </xf>
    <xf numFmtId="49" fontId="16" fillId="0" borderId="0" xfId="0" applyNumberFormat="1" applyFont="1" applyAlignment="1">
      <alignment horizontal="left" indent="2"/>
    </xf>
    <xf numFmtId="49" fontId="19" fillId="0" borderId="0" xfId="0" applyNumberFormat="1" applyFont="1" applyAlignment="1">
      <alignment horizontal="left"/>
    </xf>
    <xf numFmtId="49" fontId="16" fillId="0" borderId="0" xfId="0" applyNumberFormat="1" applyFont="1" applyAlignment="1">
      <alignment horizontal="left"/>
    </xf>
    <xf numFmtId="166" fontId="13" fillId="0" borderId="0" xfId="0" applyNumberFormat="1" applyFont="1"/>
    <xf numFmtId="166" fontId="8" fillId="0" borderId="0" xfId="0" applyNumberFormat="1" applyFont="1" applyAlignment="1">
      <alignment vertical="top"/>
    </xf>
    <xf numFmtId="166" fontId="2" fillId="0" borderId="14" xfId="0" applyNumberFormat="1" applyFont="1" applyBorder="1" applyAlignment="1">
      <alignment horizontal="center" vertical="center" wrapText="1"/>
    </xf>
    <xf numFmtId="0" fontId="2" fillId="0" borderId="25" xfId="0" applyFont="1" applyBorder="1" applyAlignment="1" applyProtection="1">
      <alignment horizontal="center" vertical="center" wrapText="1"/>
    </xf>
    <xf numFmtId="0" fontId="2" fillId="0" borderId="25" xfId="0" applyFont="1" applyBorder="1" applyAlignment="1" applyProtection="1">
      <alignment horizontal="center" vertical="center"/>
    </xf>
    <xf numFmtId="0" fontId="2" fillId="0" borderId="14" xfId="0" applyFont="1" applyBorder="1" applyAlignment="1" applyProtection="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center" vertical="center"/>
    </xf>
    <xf numFmtId="166" fontId="2" fillId="0" borderId="25" xfId="0" applyNumberFormat="1" applyFont="1" applyBorder="1" applyAlignment="1">
      <alignment horizontal="center" vertical="center" wrapText="1"/>
    </xf>
    <xf numFmtId="166" fontId="2" fillId="0" borderId="0" xfId="0" applyNumberFormat="1" applyFont="1" applyBorder="1" applyAlignment="1">
      <alignment horizontal="center" vertical="center" wrapText="1"/>
    </xf>
    <xf numFmtId="166" fontId="7" fillId="0" borderId="0" xfId="0" applyNumberFormat="1" applyFont="1" applyAlignment="1"/>
    <xf numFmtId="49" fontId="11" fillId="0" borderId="0" xfId="0" applyNumberFormat="1" applyFont="1" applyAlignment="1"/>
    <xf numFmtId="166" fontId="2" fillId="0" borderId="0" xfId="0" applyNumberFormat="1" applyFont="1" applyAlignment="1"/>
    <xf numFmtId="49" fontId="9" fillId="0" borderId="6" xfId="0" applyNumberFormat="1" applyFont="1" applyFill="1" applyBorder="1" applyAlignment="1">
      <alignment horizontal="left"/>
    </xf>
    <xf numFmtId="166" fontId="8" fillId="0" borderId="0" xfId="0" applyNumberFormat="1" applyFont="1" applyAlignment="1"/>
    <xf numFmtId="167" fontId="8" fillId="0" borderId="7" xfId="0" applyNumberFormat="1" applyFont="1" applyBorder="1"/>
    <xf numFmtId="170" fontId="8" fillId="0" borderId="7" xfId="0" applyNumberFormat="1" applyFont="1" applyFill="1" applyBorder="1"/>
    <xf numFmtId="166" fontId="8" fillId="0" borderId="7" xfId="0" applyNumberFormat="1" applyFont="1" applyBorder="1"/>
    <xf numFmtId="166" fontId="8" fillId="0" borderId="6" xfId="0" applyNumberFormat="1" applyFont="1" applyBorder="1"/>
    <xf numFmtId="166" fontId="8" fillId="0" borderId="0" xfId="0" applyNumberFormat="1" applyFont="1" applyBorder="1"/>
    <xf numFmtId="167" fontId="7" fillId="0" borderId="6" xfId="2" applyNumberFormat="1" applyFont="1" applyFill="1" applyBorder="1" applyAlignment="1" applyProtection="1">
      <alignment horizontal="left" indent="1"/>
    </xf>
    <xf numFmtId="170" fontId="8" fillId="0" borderId="0" xfId="0" applyNumberFormat="1" applyFont="1" applyFill="1"/>
    <xf numFmtId="171" fontId="8" fillId="0" borderId="0" xfId="0" applyNumberFormat="1" applyFont="1" applyBorder="1"/>
    <xf numFmtId="171" fontId="2" fillId="0" borderId="0" xfId="0" applyNumberFormat="1" applyFont="1"/>
    <xf numFmtId="171" fontId="8" fillId="0" borderId="0" xfId="0" applyNumberFormat="1" applyFont="1" applyBorder="1" applyAlignment="1">
      <alignment vertical="top"/>
    </xf>
    <xf numFmtId="171" fontId="8" fillId="0" borderId="0" xfId="0" applyNumberFormat="1" applyFont="1" applyAlignment="1">
      <alignment vertical="top"/>
    </xf>
    <xf numFmtId="171" fontId="2" fillId="0" borderId="0" xfId="0" applyNumberFormat="1" applyFont="1" applyAlignment="1">
      <alignment vertical="top"/>
    </xf>
    <xf numFmtId="171" fontId="2" fillId="0" borderId="0" xfId="0" applyNumberFormat="1" applyFont="1" applyBorder="1"/>
    <xf numFmtId="49" fontId="7" fillId="0" borderId="23" xfId="0" applyNumberFormat="1" applyFont="1" applyBorder="1" applyAlignment="1"/>
    <xf numFmtId="167" fontId="7" fillId="0" borderId="7" xfId="0" applyNumberFormat="1" applyFont="1" applyBorder="1" applyAlignment="1">
      <alignment horizontal="right" indent="1"/>
    </xf>
    <xf numFmtId="167" fontId="17" fillId="0" borderId="13" xfId="0" applyNumberFormat="1" applyFont="1" applyBorder="1" applyAlignment="1">
      <alignment horizontal="right" indent="1"/>
    </xf>
    <xf numFmtId="167" fontId="17" fillId="0" borderId="0" xfId="0" applyNumberFormat="1" applyFont="1" applyAlignment="1">
      <alignment horizontal="right" indent="1"/>
    </xf>
    <xf numFmtId="171" fontId="7" fillId="0" borderId="0" xfId="0" applyNumberFormat="1" applyFont="1" applyBorder="1"/>
    <xf numFmtId="171" fontId="7" fillId="0" borderId="0" xfId="0" applyNumberFormat="1" applyFont="1"/>
    <xf numFmtId="49" fontId="11" fillId="0" borderId="0" xfId="0" applyNumberFormat="1" applyFont="1" applyAlignment="1">
      <alignment horizontal="left"/>
    </xf>
    <xf numFmtId="167" fontId="2" fillId="0" borderId="0" xfId="0" applyNumberFormat="1" applyFont="1" applyBorder="1" applyAlignment="1">
      <alignment horizontal="right" indent="1"/>
    </xf>
    <xf numFmtId="171" fontId="2" fillId="0" borderId="0" xfId="0" applyNumberFormat="1" applyFont="1" applyBorder="1" applyAlignment="1">
      <alignment vertical="center"/>
    </xf>
    <xf numFmtId="171" fontId="2" fillId="0" borderId="0" xfId="0" applyNumberFormat="1" applyFont="1" applyAlignment="1">
      <alignment vertical="center"/>
    </xf>
    <xf numFmtId="49" fontId="2" fillId="0" borderId="6" xfId="0" applyNumberFormat="1" applyFont="1" applyBorder="1" applyAlignment="1"/>
    <xf numFmtId="167" fontId="8" fillId="0" borderId="7" xfId="0" applyNumberFormat="1" applyFont="1" applyBorder="1" applyAlignment="1">
      <alignment horizontal="right" indent="1"/>
    </xf>
    <xf numFmtId="167" fontId="2" fillId="0" borderId="0" xfId="0" applyNumberFormat="1" applyFont="1" applyAlignment="1">
      <alignment horizontal="right" indent="1"/>
    </xf>
    <xf numFmtId="171" fontId="2" fillId="0" borderId="0" xfId="0" applyNumberFormat="1" applyFont="1" applyBorder="1" applyAlignment="1">
      <alignment vertical="top"/>
    </xf>
    <xf numFmtId="49" fontId="9" fillId="0" borderId="0" xfId="0" applyNumberFormat="1" applyFont="1" applyAlignment="1"/>
    <xf numFmtId="0" fontId="2" fillId="0" borderId="6" xfId="2" applyFont="1" applyFill="1" applyBorder="1" applyAlignment="1">
      <alignment horizontal="left" indent="1"/>
    </xf>
    <xf numFmtId="167" fontId="8" fillId="0" borderId="0" xfId="0" applyNumberFormat="1" applyFont="1" applyAlignment="1">
      <alignment horizontal="right" indent="1"/>
    </xf>
    <xf numFmtId="171" fontId="2" fillId="0" borderId="0" xfId="0" applyNumberFormat="1" applyFont="1" applyAlignment="1"/>
    <xf numFmtId="49" fontId="9" fillId="0" borderId="0" xfId="0" applyNumberFormat="1" applyFont="1" applyFill="1" applyAlignment="1">
      <alignment horizontal="left" indent="1"/>
    </xf>
    <xf numFmtId="171" fontId="2" fillId="0" borderId="0" xfId="0" applyNumberFormat="1" applyFont="1" applyBorder="1" applyAlignment="1"/>
    <xf numFmtId="171" fontId="8" fillId="0" borderId="0" xfId="0" applyNumberFormat="1" applyFont="1" applyAlignment="1">
      <alignment horizontal="right"/>
    </xf>
    <xf numFmtId="166" fontId="2" fillId="0" borderId="0" xfId="0" applyNumberFormat="1" applyFont="1" applyAlignment="1">
      <alignment horizontal="right"/>
    </xf>
    <xf numFmtId="166" fontId="2" fillId="0" borderId="0" xfId="0" applyNumberFormat="1" applyFont="1" applyBorder="1"/>
    <xf numFmtId="49" fontId="7" fillId="0" borderId="23" xfId="0" applyNumberFormat="1" applyFont="1" applyBorder="1" applyAlignment="1">
      <alignment horizontal="left" indent="1"/>
    </xf>
    <xf numFmtId="3" fontId="7" fillId="0" borderId="13" xfId="0" applyNumberFormat="1" applyFont="1" applyBorder="1" applyAlignment="1">
      <alignment horizontal="right" indent="1"/>
    </xf>
    <xf numFmtId="49" fontId="11" fillId="0" borderId="0" xfId="0" applyNumberFormat="1" applyFont="1" applyBorder="1" applyAlignment="1">
      <alignment horizontal="left" indent="1"/>
    </xf>
    <xf numFmtId="172" fontId="7" fillId="0" borderId="0" xfId="0" applyNumberFormat="1" applyFont="1" applyBorder="1" applyAlignment="1">
      <alignment vertical="center"/>
    </xf>
    <xf numFmtId="174" fontId="7" fillId="0" borderId="0" xfId="0" applyNumberFormat="1" applyFont="1" applyAlignment="1">
      <alignment vertical="center"/>
    </xf>
    <xf numFmtId="49" fontId="2" fillId="0" borderId="6" xfId="0" applyNumberFormat="1" applyFont="1" applyBorder="1" applyAlignment="1">
      <alignment horizontal="left" indent="1"/>
    </xf>
    <xf numFmtId="3" fontId="2" fillId="0" borderId="7" xfId="0" applyNumberFormat="1" applyFont="1" applyBorder="1" applyAlignment="1">
      <alignment horizontal="right" indent="1"/>
    </xf>
    <xf numFmtId="175" fontId="2" fillId="0" borderId="0" xfId="0" applyNumberFormat="1" applyFont="1"/>
    <xf numFmtId="0" fontId="9" fillId="0" borderId="0" xfId="0" applyFont="1"/>
    <xf numFmtId="3" fontId="2" fillId="0" borderId="7" xfId="0" applyNumberFormat="1" applyFont="1" applyFill="1" applyBorder="1" applyAlignment="1">
      <alignment horizontal="right" indent="1"/>
    </xf>
    <xf numFmtId="174" fontId="7" fillId="0" borderId="0" xfId="0" applyNumberFormat="1" applyFont="1" applyBorder="1" applyAlignment="1"/>
    <xf numFmtId="176" fontId="7" fillId="0" borderId="0" xfId="0" applyNumberFormat="1" applyFont="1" applyBorder="1" applyAlignment="1">
      <alignment vertical="center"/>
    </xf>
    <xf numFmtId="49" fontId="7" fillId="0" borderId="6" xfId="0" applyNumberFormat="1" applyFont="1" applyBorder="1" applyAlignment="1">
      <alignment horizontal="left" indent="1"/>
    </xf>
    <xf numFmtId="3" fontId="17" fillId="0" borderId="6" xfId="0" applyNumberFormat="1" applyFont="1" applyBorder="1" applyAlignment="1">
      <alignment horizontal="right" indent="1"/>
    </xf>
    <xf numFmtId="3" fontId="7" fillId="0" borderId="6" xfId="0" applyNumberFormat="1" applyFont="1" applyBorder="1" applyAlignment="1">
      <alignment horizontal="right" indent="1"/>
    </xf>
    <xf numFmtId="1" fontId="2" fillId="0" borderId="0" xfId="0" applyNumberFormat="1" applyFont="1" applyBorder="1"/>
    <xf numFmtId="169" fontId="2" fillId="0" borderId="0" xfId="0" applyNumberFormat="1" applyFont="1"/>
    <xf numFmtId="173" fontId="2" fillId="0" borderId="0" xfId="0" applyNumberFormat="1" applyFont="1" applyBorder="1" applyAlignment="1">
      <alignment horizontal="right"/>
    </xf>
    <xf numFmtId="168" fontId="2" fillId="0" borderId="0" xfId="0" applyNumberFormat="1" applyFont="1" applyAlignment="1">
      <alignment horizontal="right"/>
    </xf>
    <xf numFmtId="1" fontId="7" fillId="0" borderId="0" xfId="0" applyNumberFormat="1" applyFont="1" applyBorder="1" applyAlignment="1">
      <alignment horizontal="left"/>
    </xf>
    <xf numFmtId="3" fontId="7" fillId="0" borderId="23" xfId="0" applyNumberFormat="1" applyFont="1" applyBorder="1" applyAlignment="1">
      <alignment horizontal="right" indent="1"/>
    </xf>
    <xf numFmtId="2" fontId="8" fillId="0" borderId="6" xfId="0" applyNumberFormat="1" applyFont="1" applyBorder="1" applyAlignment="1">
      <alignment horizontal="left" indent="1"/>
    </xf>
    <xf numFmtId="3" fontId="8" fillId="0" borderId="6" xfId="0" applyNumberFormat="1" applyFont="1" applyBorder="1" applyAlignment="1">
      <alignment horizontal="right" indent="1"/>
    </xf>
    <xf numFmtId="2" fontId="2" fillId="0" borderId="6" xfId="0" applyNumberFormat="1" applyFont="1" applyBorder="1" applyAlignment="1">
      <alignment horizontal="left" vertical="top" wrapText="1" indent="1"/>
    </xf>
    <xf numFmtId="49" fontId="9" fillId="0" borderId="0" xfId="0" applyNumberFormat="1" applyFont="1" applyBorder="1" applyAlignment="1">
      <alignment horizontal="left" vertical="top" wrapText="1" indent="1"/>
    </xf>
    <xf numFmtId="49" fontId="7" fillId="0" borderId="6" xfId="0" applyNumberFormat="1" applyFont="1" applyFill="1" applyBorder="1"/>
    <xf numFmtId="168" fontId="11" fillId="0" borderId="0" xfId="0" applyNumberFormat="1" applyFont="1" applyAlignment="1">
      <alignment horizontal="right" indent="1"/>
    </xf>
    <xf numFmtId="1" fontId="7" fillId="0" borderId="6" xfId="0" applyNumberFormat="1" applyFont="1" applyBorder="1" applyAlignment="1"/>
    <xf numFmtId="49" fontId="11" fillId="0" borderId="0" xfId="0" applyNumberFormat="1" applyFont="1" applyBorder="1" applyAlignment="1">
      <alignment wrapText="1"/>
    </xf>
    <xf numFmtId="49" fontId="8" fillId="0" borderId="6" xfId="0" applyNumberFormat="1" applyFont="1" applyBorder="1" applyAlignment="1">
      <alignment horizontal="left" indent="1"/>
    </xf>
    <xf numFmtId="49" fontId="9" fillId="0" borderId="0" xfId="0" applyNumberFormat="1" applyFont="1" applyBorder="1" applyAlignment="1">
      <alignment wrapText="1"/>
    </xf>
    <xf numFmtId="0" fontId="9" fillId="0" borderId="0" xfId="0" applyFont="1" applyAlignment="1">
      <alignment wrapText="1"/>
    </xf>
    <xf numFmtId="49" fontId="2" fillId="0" borderId="6" xfId="0" applyNumberFormat="1" applyFont="1" applyBorder="1" applyAlignment="1">
      <alignment horizontal="left" vertical="top" wrapText="1" indent="1"/>
    </xf>
    <xf numFmtId="1" fontId="7" fillId="0" borderId="6" xfId="0" applyNumberFormat="1" applyFont="1" applyBorder="1"/>
    <xf numFmtId="49" fontId="9" fillId="0" borderId="0" xfId="0" applyNumberFormat="1" applyFont="1" applyAlignment="1">
      <alignment wrapText="1"/>
    </xf>
    <xf numFmtId="49" fontId="8" fillId="0" borderId="0" xfId="0" applyNumberFormat="1" applyFont="1"/>
    <xf numFmtId="49" fontId="9" fillId="0" borderId="0" xfId="0" applyNumberFormat="1" applyFont="1" applyBorder="1" applyAlignment="1">
      <alignment vertical="top" wrapText="1"/>
    </xf>
    <xf numFmtId="168" fontId="11" fillId="0" borderId="0" xfId="0" applyNumberFormat="1" applyFont="1" applyAlignment="1">
      <alignment wrapText="1"/>
    </xf>
    <xf numFmtId="49" fontId="8" fillId="0" borderId="0" xfId="0" applyNumberFormat="1" applyFont="1" applyAlignment="1">
      <alignment horizontal="center"/>
    </xf>
    <xf numFmtId="1" fontId="8" fillId="0" borderId="0" xfId="0" applyNumberFormat="1" applyFont="1" applyAlignment="1">
      <alignment horizontal="right"/>
    </xf>
    <xf numFmtId="1" fontId="31" fillId="0" borderId="0" xfId="0" applyNumberFormat="1" applyFont="1" applyAlignment="1">
      <alignment wrapText="1"/>
    </xf>
    <xf numFmtId="168" fontId="9" fillId="0" borderId="0" xfId="0" applyNumberFormat="1" applyFont="1" applyAlignment="1">
      <alignment wrapText="1"/>
    </xf>
    <xf numFmtId="3" fontId="17" fillId="0" borderId="7" xfId="0" applyNumberFormat="1" applyFont="1" applyBorder="1" applyAlignment="1">
      <alignment horizontal="right" indent="1"/>
    </xf>
    <xf numFmtId="1" fontId="8" fillId="0" borderId="7" xfId="0" applyNumberFormat="1" applyFont="1" applyBorder="1" applyAlignment="1">
      <alignment horizontal="right" indent="1"/>
    </xf>
    <xf numFmtId="3" fontId="8" fillId="0" borderId="7" xfId="0" applyNumberFormat="1" applyFont="1" applyBorder="1" applyAlignment="1">
      <alignment horizontal="right" indent="1"/>
    </xf>
    <xf numFmtId="3" fontId="7" fillId="0" borderId="7" xfId="0" applyNumberFormat="1" applyFont="1" applyBorder="1" applyAlignment="1">
      <alignment horizontal="right" indent="1"/>
    </xf>
    <xf numFmtId="168" fontId="9" fillId="0" borderId="0" xfId="0" applyNumberFormat="1" applyFont="1" applyAlignment="1">
      <alignment vertical="top" wrapText="1"/>
    </xf>
    <xf numFmtId="3" fontId="7" fillId="0" borderId="6" xfId="0" applyNumberFormat="1" applyFont="1" applyFill="1" applyBorder="1" applyAlignment="1">
      <alignment horizontal="right" indent="1"/>
    </xf>
    <xf numFmtId="1" fontId="8" fillId="0" borderId="0" xfId="0" applyNumberFormat="1" applyFont="1"/>
    <xf numFmtId="165" fontId="7" fillId="0" borderId="7" xfId="2" applyNumberFormat="1" applyFont="1" applyBorder="1" applyAlignment="1"/>
    <xf numFmtId="165" fontId="7" fillId="0" borderId="0" xfId="2" applyNumberFormat="1" applyFont="1" applyBorder="1" applyAlignment="1"/>
    <xf numFmtId="165" fontId="7" fillId="0" borderId="7" xfId="1" applyNumberFormat="1" applyFont="1" applyBorder="1" applyAlignment="1">
      <alignment horizontal="right" indent="1"/>
    </xf>
    <xf numFmtId="165" fontId="17" fillId="0" borderId="6" xfId="0" applyNumberFormat="1" applyFont="1" applyBorder="1" applyAlignment="1">
      <alignment horizontal="right" indent="1"/>
    </xf>
    <xf numFmtId="0" fontId="2" fillId="0" borderId="17" xfId="2" applyFont="1" applyBorder="1" applyAlignment="1">
      <alignment horizontal="center" vertical="center" wrapText="1"/>
    </xf>
    <xf numFmtId="0" fontId="2" fillId="0" borderId="15" xfId="0" applyFont="1" applyBorder="1" applyAlignment="1">
      <alignment horizontal="center" vertical="center" wrapText="1"/>
    </xf>
    <xf numFmtId="165" fontId="7" fillId="0" borderId="6" xfId="0" applyNumberFormat="1" applyFont="1" applyBorder="1" applyAlignment="1">
      <alignment horizontal="right" indent="1"/>
    </xf>
    <xf numFmtId="1" fontId="2" fillId="0" borderId="17" xfId="2" applyNumberFormat="1" applyFont="1" applyBorder="1" applyAlignment="1">
      <alignment horizontal="center" vertical="center" wrapText="1"/>
    </xf>
    <xf numFmtId="0" fontId="8" fillId="0" borderId="0" xfId="0" applyFont="1" applyAlignment="1">
      <alignment horizontal="left" vertical="top"/>
    </xf>
    <xf numFmtId="0" fontId="7" fillId="0" borderId="6" xfId="2" applyFont="1" applyFill="1" applyBorder="1" applyAlignment="1">
      <alignment horizontal="left" wrapText="1"/>
    </xf>
    <xf numFmtId="49" fontId="16" fillId="0" borderId="0" xfId="0" applyNumberFormat="1" applyFont="1" applyAlignment="1">
      <alignment horizontal="left" wrapText="1" indent="2"/>
    </xf>
    <xf numFmtId="0" fontId="8" fillId="0" borderId="0" xfId="0" applyFont="1" applyAlignment="1">
      <alignment vertical="top"/>
    </xf>
    <xf numFmtId="0" fontId="2" fillId="0" borderId="0" xfId="0" applyFont="1" applyFill="1" applyAlignment="1">
      <alignment horizontal="left"/>
    </xf>
    <xf numFmtId="1" fontId="9" fillId="0" borderId="0" xfId="0" applyNumberFormat="1" applyFont="1" applyBorder="1" applyAlignment="1">
      <alignment horizontal="left" vertical="top"/>
    </xf>
    <xf numFmtId="0" fontId="21" fillId="0" borderId="0" xfId="0" applyFont="1" applyAlignment="1">
      <alignment horizontal="left" vertical="top"/>
    </xf>
    <xf numFmtId="0" fontId="21" fillId="0" borderId="1" xfId="0" applyFont="1" applyBorder="1" applyAlignment="1">
      <alignment horizontal="left" vertical="top"/>
    </xf>
    <xf numFmtId="0" fontId="21" fillId="0" borderId="0" xfId="0" applyFont="1" applyBorder="1" applyAlignment="1">
      <alignment horizontal="left" vertical="top"/>
    </xf>
    <xf numFmtId="0" fontId="8" fillId="0" borderId="0" xfId="0" applyFont="1" applyBorder="1" applyAlignment="1">
      <alignment horizontal="left" vertical="top"/>
    </xf>
    <xf numFmtId="0" fontId="2" fillId="0" borderId="0" xfId="0" applyFont="1" applyFill="1" applyBorder="1" applyAlignment="1">
      <alignment horizontal="left"/>
    </xf>
    <xf numFmtId="0" fontId="2" fillId="0" borderId="0" xfId="0" applyFont="1" applyBorder="1" applyAlignment="1">
      <alignment horizontal="left"/>
    </xf>
    <xf numFmtId="0" fontId="2" fillId="0" borderId="0" xfId="0" applyFont="1" applyBorder="1" applyAlignment="1">
      <alignment horizontal="left" vertical="top"/>
    </xf>
    <xf numFmtId="0" fontId="2" fillId="0" borderId="7" xfId="0" applyFont="1" applyFill="1" applyBorder="1" applyAlignment="1">
      <alignment horizontal="right" indent="1"/>
    </xf>
    <xf numFmtId="165" fontId="7" fillId="0" borderId="13" xfId="0" applyNumberFormat="1" applyFont="1" applyFill="1" applyBorder="1" applyAlignment="1">
      <alignment horizontal="right" indent="1"/>
    </xf>
    <xf numFmtId="0" fontId="7" fillId="0" borderId="7" xfId="0" applyFont="1" applyFill="1" applyBorder="1" applyAlignment="1">
      <alignment horizontal="right" indent="1"/>
    </xf>
    <xf numFmtId="167" fontId="2" fillId="0" borderId="7" xfId="0" applyNumberFormat="1" applyFont="1" applyFill="1" applyBorder="1" applyAlignment="1">
      <alignment horizontal="right" indent="1"/>
    </xf>
    <xf numFmtId="49" fontId="11" fillId="0" borderId="8" xfId="0" applyNumberFormat="1" applyFont="1" applyBorder="1" applyAlignment="1">
      <alignment horizontal="left" indent="1"/>
    </xf>
    <xf numFmtId="49" fontId="9" fillId="0" borderId="8" xfId="0" applyNumberFormat="1" applyFont="1" applyBorder="1" applyAlignment="1">
      <alignment horizontal="left" indent="1"/>
    </xf>
    <xf numFmtId="168" fontId="11" fillId="0" borderId="8" xfId="0" applyNumberFormat="1" applyFont="1" applyBorder="1" applyAlignment="1">
      <alignment horizontal="left" indent="1"/>
    </xf>
    <xf numFmtId="166" fontId="17" fillId="0" borderId="7" xfId="0" applyNumberFormat="1" applyFont="1" applyBorder="1"/>
    <xf numFmtId="166" fontId="17" fillId="0" borderId="13" xfId="0" applyNumberFormat="1" applyFont="1" applyBorder="1" applyAlignment="1">
      <alignment horizontal="right" indent="1"/>
    </xf>
    <xf numFmtId="166" fontId="8" fillId="0" borderId="7" xfId="0" applyNumberFormat="1" applyFont="1" applyBorder="1" applyAlignment="1">
      <alignment horizontal="right" indent="1"/>
    </xf>
    <xf numFmtId="0" fontId="33" fillId="0" borderId="0" xfId="0" applyFont="1" applyAlignment="1">
      <alignment vertical="center"/>
    </xf>
    <xf numFmtId="0" fontId="7" fillId="0" borderId="0" xfId="0" applyFont="1" applyAlignment="1">
      <alignment horizontal="left"/>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7" fillId="0" borderId="0" xfId="0" applyFont="1" applyAlignment="1">
      <alignment horizontal="left" vertical="top" wrapText="1"/>
    </xf>
    <xf numFmtId="0" fontId="8" fillId="0" borderId="0" xfId="0" applyFont="1" applyAlignment="1">
      <alignment horizontal="left" vertical="top"/>
    </xf>
    <xf numFmtId="0" fontId="2" fillId="0" borderId="2" xfId="0" applyFont="1" applyBorder="1" applyAlignment="1">
      <alignment horizontal="center" vertical="center" wrapText="1"/>
    </xf>
    <xf numFmtId="0" fontId="8" fillId="0" borderId="3" xfId="0" applyFont="1" applyBorder="1" applyAlignment="1">
      <alignment horizontal="center"/>
    </xf>
    <xf numFmtId="0" fontId="9" fillId="0" borderId="0" xfId="0" applyFont="1" applyBorder="1" applyAlignment="1">
      <alignment horizontal="left" vertical="top" wrapText="1"/>
    </xf>
    <xf numFmtId="0" fontId="10" fillId="0" borderId="0" xfId="0" applyFont="1" applyAlignment="1">
      <alignment horizontal="left"/>
    </xf>
    <xf numFmtId="0" fontId="2" fillId="0" borderId="0" xfId="0" applyFont="1" applyBorder="1" applyAlignment="1">
      <alignment horizontal="left" vertical="center" wrapText="1"/>
    </xf>
    <xf numFmtId="0" fontId="2" fillId="0" borderId="6" xfId="0" applyFont="1" applyBorder="1" applyAlignment="1"/>
    <xf numFmtId="0" fontId="2" fillId="0" borderId="9" xfId="0" applyFont="1" applyBorder="1" applyAlignment="1">
      <alignment horizontal="left" vertical="center" wrapText="1"/>
    </xf>
    <xf numFmtId="0" fontId="8" fillId="0" borderId="10" xfId="0" applyFont="1" applyBorder="1" applyAlignment="1"/>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8" fillId="0" borderId="17" xfId="0" applyFont="1" applyBorder="1" applyAlignment="1">
      <alignment horizontal="center" vertical="center" wrapText="1"/>
    </xf>
    <xf numFmtId="0" fontId="8" fillId="0" borderId="18" xfId="0" applyFont="1" applyBorder="1" applyAlignment="1"/>
    <xf numFmtId="0" fontId="8" fillId="0" borderId="3"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0" xfId="0" applyFont="1" applyAlignment="1">
      <alignment vertical="top" wrapText="1"/>
    </xf>
    <xf numFmtId="0" fontId="9" fillId="0" borderId="0" xfId="0" applyFont="1" applyAlignment="1">
      <alignment horizontal="left" vertical="top" wrapText="1"/>
    </xf>
    <xf numFmtId="0" fontId="8" fillId="0" borderId="0" xfId="0" applyFont="1" applyAlignment="1">
      <alignment horizontal="left" wrapText="1" indent="1"/>
    </xf>
    <xf numFmtId="0" fontId="10" fillId="0" borderId="0" xfId="0" applyFont="1" applyAlignment="1">
      <alignment horizontal="left" indent="1"/>
    </xf>
    <xf numFmtId="0" fontId="18" fillId="0" borderId="0" xfId="0" applyFont="1" applyAlignment="1">
      <alignment horizontal="left" wrapText="1" indent="1"/>
    </xf>
    <xf numFmtId="0" fontId="17" fillId="0" borderId="0" xfId="0" applyFont="1" applyAlignment="1">
      <alignment horizontal="left" vertical="top"/>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9"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2" xfId="0" applyFont="1" applyBorder="1" applyAlignment="1">
      <alignment vertical="center" wrapText="1"/>
    </xf>
    <xf numFmtId="0" fontId="8" fillId="0" borderId="9" xfId="0" applyFont="1" applyBorder="1" applyAlignment="1">
      <alignment vertical="center" wrapText="1"/>
    </xf>
    <xf numFmtId="0" fontId="23"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0" xfId="0" applyFont="1" applyBorder="1" applyAlignment="1">
      <alignment horizontal="center" vertical="center" wrapText="1"/>
    </xf>
    <xf numFmtId="0" fontId="9" fillId="0" borderId="1" xfId="0" applyFont="1" applyBorder="1" applyAlignment="1">
      <alignment horizontal="left" vertical="top"/>
    </xf>
    <xf numFmtId="0" fontId="2" fillId="0" borderId="1" xfId="0" applyFont="1" applyBorder="1" applyAlignment="1">
      <alignment horizontal="left" vertical="top"/>
    </xf>
    <xf numFmtId="0" fontId="2" fillId="0" borderId="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168" fontId="2" fillId="0" borderId="4" xfId="0" applyNumberFormat="1" applyFont="1" applyBorder="1" applyAlignment="1" applyProtection="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4" xfId="0" applyFont="1" applyBorder="1" applyAlignment="1" applyProtection="1">
      <alignment horizontal="center" vertical="center" wrapText="1"/>
    </xf>
    <xf numFmtId="0" fontId="2" fillId="0" borderId="4" xfId="0" applyFont="1" applyBorder="1" applyAlignment="1" applyProtection="1">
      <alignment horizontal="center" vertical="center"/>
    </xf>
    <xf numFmtId="166" fontId="2" fillId="0" borderId="4" xfId="0" applyNumberFormat="1" applyFont="1" applyBorder="1" applyAlignment="1">
      <alignment horizontal="center" vertical="center" wrapText="1"/>
    </xf>
    <xf numFmtId="0" fontId="8" fillId="0" borderId="0" xfId="0" applyFont="1" applyAlignment="1"/>
    <xf numFmtId="0" fontId="10" fillId="0" borderId="0" xfId="0" applyFont="1" applyAlignment="1"/>
    <xf numFmtId="0" fontId="2" fillId="0" borderId="5" xfId="0" applyFont="1" applyBorder="1" applyAlignment="1">
      <alignment horizontal="center" vertical="center" wrapText="1"/>
    </xf>
    <xf numFmtId="0" fontId="2" fillId="0" borderId="26" xfId="0" applyFont="1" applyBorder="1" applyAlignment="1">
      <alignment horizontal="center" vertical="center" wrapText="1"/>
    </xf>
    <xf numFmtId="9" fontId="2" fillId="0" borderId="15" xfId="1" applyFont="1" applyBorder="1" applyAlignment="1">
      <alignment horizontal="center" vertical="center" wrapText="1"/>
    </xf>
    <xf numFmtId="9" fontId="2" fillId="0" borderId="22" xfId="1" applyFont="1" applyBorder="1" applyAlignment="1">
      <alignment horizontal="center" vertical="center"/>
    </xf>
    <xf numFmtId="0" fontId="7" fillId="0" borderId="0" xfId="2" applyFont="1" applyAlignment="1">
      <alignment horizontal="left" vertical="top"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0" xfId="2" applyFont="1" applyBorder="1" applyAlignment="1">
      <alignment horizontal="center" vertical="center" wrapText="1"/>
    </xf>
    <xf numFmtId="0" fontId="2" fillId="0" borderId="6"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0" xfId="2" applyFont="1" applyBorder="1" applyAlignment="1">
      <alignment horizontal="center" vertical="center" wrapText="1"/>
    </xf>
    <xf numFmtId="165" fontId="2" fillId="0" borderId="16" xfId="2" applyNumberFormat="1" applyFont="1" applyBorder="1" applyAlignment="1">
      <alignment horizontal="center" vertical="center" wrapText="1"/>
    </xf>
    <xf numFmtId="165" fontId="2" fillId="0" borderId="5" xfId="2" applyNumberFormat="1" applyFont="1" applyBorder="1" applyAlignment="1">
      <alignment horizontal="center" vertical="center" wrapText="1"/>
    </xf>
    <xf numFmtId="165" fontId="2" fillId="0" borderId="25" xfId="2" applyNumberFormat="1" applyFont="1" applyBorder="1" applyAlignment="1">
      <alignment horizontal="center" vertical="center" wrapText="1"/>
    </xf>
    <xf numFmtId="165" fontId="2" fillId="0" borderId="12" xfId="2" applyNumberFormat="1" applyFont="1" applyBorder="1" applyAlignment="1">
      <alignment horizontal="center" vertical="center"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2" fillId="0" borderId="18" xfId="2"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2" fillId="0" borderId="17"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22" xfId="2" applyFont="1" applyBorder="1" applyAlignment="1">
      <alignment horizontal="center" vertical="center"/>
    </xf>
    <xf numFmtId="0" fontId="7" fillId="0" borderId="0" xfId="2" applyFont="1" applyBorder="1" applyAlignment="1">
      <alignment horizontal="left" vertical="top" wrapText="1"/>
    </xf>
    <xf numFmtId="0" fontId="9" fillId="0" borderId="1" xfId="2" applyFont="1" applyBorder="1" applyAlignment="1">
      <alignment horizontal="left" vertical="top" wrapText="1"/>
    </xf>
    <xf numFmtId="165" fontId="2" fillId="0" borderId="0" xfId="0" applyNumberFormat="1" applyFont="1" applyFill="1" applyAlignment="1">
      <alignment horizontal="center" vertical="center" wrapText="1"/>
    </xf>
    <xf numFmtId="0" fontId="8" fillId="0" borderId="0" xfId="0" applyFont="1" applyAlignment="1">
      <alignment horizontal="center" vertical="center"/>
    </xf>
    <xf numFmtId="171" fontId="7" fillId="0" borderId="0" xfId="0" quotePrefix="1" applyNumberFormat="1" applyFont="1" applyAlignment="1" applyProtection="1">
      <alignment horizontal="left" vertical="top" wrapText="1"/>
    </xf>
    <xf numFmtId="0" fontId="10" fillId="0" borderId="0" xfId="0" applyFont="1" applyAlignment="1">
      <alignment vertical="top" wrapText="1"/>
    </xf>
    <xf numFmtId="0" fontId="2" fillId="0" borderId="12" xfId="0" applyFont="1" applyBorder="1" applyAlignment="1">
      <alignment horizontal="center" vertical="center" wrapText="1"/>
    </xf>
    <xf numFmtId="171" fontId="2" fillId="0" borderId="3" xfId="0" applyNumberFormat="1" applyFont="1" applyBorder="1" applyAlignment="1" applyProtection="1">
      <alignment horizontal="center" vertical="center" wrapText="1"/>
    </xf>
    <xf numFmtId="0" fontId="2" fillId="0" borderId="24" xfId="0" applyFont="1" applyBorder="1" applyAlignment="1">
      <alignment horizontal="center" vertical="center" wrapText="1"/>
    </xf>
    <xf numFmtId="0" fontId="8" fillId="0" borderId="27" xfId="0" applyFont="1" applyBorder="1" applyAlignment="1">
      <alignment horizontal="center" vertical="center"/>
    </xf>
    <xf numFmtId="171" fontId="9" fillId="0" borderId="0" xfId="0" applyNumberFormat="1" applyFont="1" applyAlignment="1" applyProtection="1">
      <alignment horizontal="left" vertical="top"/>
    </xf>
    <xf numFmtId="0" fontId="32" fillId="0" borderId="0" xfId="0" applyFont="1" applyAlignment="1">
      <alignment vertical="top"/>
    </xf>
    <xf numFmtId="0" fontId="2" fillId="0" borderId="3" xfId="0" applyFont="1" applyBorder="1" applyAlignment="1" applyProtection="1">
      <alignment horizontal="center" vertical="center" wrapText="1"/>
    </xf>
    <xf numFmtId="0" fontId="2" fillId="0" borderId="10" xfId="0" applyFont="1" applyBorder="1" applyAlignment="1">
      <alignment horizontal="center" vertical="center" wrapText="1"/>
    </xf>
    <xf numFmtId="0" fontId="2" fillId="0" borderId="19" xfId="2" applyFont="1" applyBorder="1" applyAlignment="1">
      <alignment horizontal="center" vertical="center" wrapText="1"/>
    </xf>
    <xf numFmtId="0" fontId="2" fillId="0" borderId="15" xfId="0" applyFont="1" applyBorder="1" applyAlignment="1">
      <alignment horizontal="center" vertical="center" wrapText="1"/>
    </xf>
    <xf numFmtId="0" fontId="10" fillId="0" borderId="22" xfId="0" applyFont="1" applyBorder="1" applyAlignment="1">
      <alignment horizontal="center" vertical="center"/>
    </xf>
    <xf numFmtId="0" fontId="9" fillId="0" borderId="0" xfId="2" applyFont="1" applyBorder="1" applyAlignment="1">
      <alignment horizontal="left" vertical="top" wrapText="1"/>
    </xf>
    <xf numFmtId="0" fontId="10" fillId="0" borderId="0" xfId="0" applyFont="1" applyBorder="1" applyAlignment="1">
      <alignment horizontal="left" vertical="top" wrapText="1"/>
    </xf>
    <xf numFmtId="0" fontId="8" fillId="0" borderId="0" xfId="0" applyFont="1" applyAlignment="1">
      <alignment horizontal="center" vertical="center" wrapText="1"/>
    </xf>
    <xf numFmtId="0" fontId="2" fillId="0" borderId="8" xfId="0" applyFont="1" applyBorder="1" applyAlignment="1">
      <alignment horizontal="center" vertical="center" wrapText="1"/>
    </xf>
    <xf numFmtId="0" fontId="8" fillId="0" borderId="0" xfId="0" applyFont="1" applyBorder="1" applyAlignment="1">
      <alignment horizontal="center" vertical="center"/>
    </xf>
    <xf numFmtId="166" fontId="19" fillId="0" borderId="0" xfId="0" applyNumberFormat="1" applyFont="1" applyBorder="1" applyAlignment="1" applyProtection="1">
      <alignment horizontal="left" vertical="top" wrapText="1"/>
    </xf>
    <xf numFmtId="166" fontId="9" fillId="0" borderId="1" xfId="0" applyNumberFormat="1" applyFont="1" applyBorder="1" applyAlignment="1">
      <alignment horizontal="left" vertical="top" wrapText="1"/>
    </xf>
    <xf numFmtId="0" fontId="8" fillId="0" borderId="1" xfId="0" applyFont="1" applyBorder="1" applyAlignment="1">
      <alignment horizontal="left" vertical="top" wrapText="1"/>
    </xf>
    <xf numFmtId="0" fontId="8" fillId="0" borderId="1" xfId="0" applyFont="1" applyBorder="1" applyAlignment="1">
      <alignment vertical="top"/>
    </xf>
    <xf numFmtId="166" fontId="2" fillId="0" borderId="4" xfId="0" applyNumberFormat="1" applyFont="1" applyBorder="1" applyAlignment="1" applyProtection="1">
      <alignment horizontal="center" vertical="center" wrapText="1"/>
    </xf>
    <xf numFmtId="171" fontId="2" fillId="0" borderId="7" xfId="0" applyNumberFormat="1" applyFont="1" applyBorder="1" applyAlignment="1">
      <alignment horizontal="center" vertical="center" wrapText="1"/>
    </xf>
    <xf numFmtId="166" fontId="2" fillId="0" borderId="5" xfId="0" applyNumberFormat="1" applyFont="1" applyBorder="1" applyAlignment="1" applyProtection="1">
      <alignment horizontal="center" vertical="center" wrapText="1"/>
    </xf>
    <xf numFmtId="171" fontId="2" fillId="0" borderId="8" xfId="0" applyNumberFormat="1" applyFont="1" applyBorder="1" applyAlignment="1">
      <alignment horizontal="center" vertical="center" wrapText="1"/>
    </xf>
    <xf numFmtId="166" fontId="2" fillId="0" borderId="15" xfId="0" applyNumberFormat="1" applyFont="1" applyBorder="1" applyAlignment="1">
      <alignment horizontal="center" vertical="center"/>
    </xf>
    <xf numFmtId="166" fontId="2" fillId="0" borderId="22" xfId="0" applyNumberFormat="1" applyFont="1" applyBorder="1" applyAlignment="1">
      <alignment horizontal="center" vertical="center"/>
    </xf>
    <xf numFmtId="171" fontId="7" fillId="0" borderId="0" xfId="0" applyNumberFormat="1" applyFont="1" applyAlignment="1" applyProtection="1">
      <alignment horizontal="left" vertical="top"/>
    </xf>
    <xf numFmtId="171" fontId="9" fillId="0" borderId="1" xfId="0" applyNumberFormat="1" applyFont="1" applyBorder="1" applyAlignment="1" applyProtection="1">
      <alignment horizontal="left" vertical="top"/>
    </xf>
    <xf numFmtId="0" fontId="10" fillId="0" borderId="1" xfId="0" applyFont="1" applyBorder="1" applyAlignment="1">
      <alignment vertical="top"/>
    </xf>
    <xf numFmtId="171" fontId="2" fillId="0" borderId="6" xfId="0" applyNumberFormat="1" applyFont="1" applyBorder="1" applyAlignment="1" applyProtection="1">
      <alignment horizontal="center" vertical="center" wrapText="1"/>
    </xf>
    <xf numFmtId="171" fontId="2" fillId="0" borderId="20" xfId="0" applyNumberFormat="1" applyFont="1" applyBorder="1" applyAlignment="1">
      <alignment horizontal="center" vertical="center" wrapText="1"/>
    </xf>
    <xf numFmtId="166" fontId="2" fillId="0" borderId="3" xfId="0" applyNumberFormat="1" applyFont="1" applyBorder="1" applyAlignment="1" applyProtection="1">
      <alignment horizontal="center" vertical="center" wrapText="1"/>
    </xf>
    <xf numFmtId="171" fontId="2" fillId="0" borderId="6" xfId="0" applyNumberFormat="1" applyFont="1" applyBorder="1" applyAlignment="1">
      <alignment horizontal="center" vertical="center" wrapText="1"/>
    </xf>
    <xf numFmtId="1" fontId="7" fillId="0" borderId="0" xfId="0" applyNumberFormat="1" applyFont="1" applyBorder="1" applyAlignment="1">
      <alignment horizontal="left" wrapText="1"/>
    </xf>
    <xf numFmtId="1" fontId="9" fillId="0" borderId="0" xfId="0" applyNumberFormat="1" applyFont="1" applyBorder="1" applyAlignment="1">
      <alignment horizontal="left" wrapText="1"/>
    </xf>
    <xf numFmtId="1" fontId="30" fillId="0" borderId="0" xfId="0" applyNumberFormat="1" applyFont="1" applyBorder="1" applyAlignment="1">
      <alignment horizontal="left" wrapText="1"/>
    </xf>
    <xf numFmtId="1" fontId="9" fillId="0" borderId="0" xfId="0" applyNumberFormat="1" applyFont="1" applyBorder="1" applyAlignment="1">
      <alignment horizontal="left" vertical="top" wrapText="1"/>
    </xf>
    <xf numFmtId="1" fontId="2" fillId="0" borderId="3" xfId="0" applyNumberFormat="1" applyFont="1" applyBorder="1" applyAlignment="1">
      <alignment horizontal="center" vertical="center"/>
    </xf>
    <xf numFmtId="0" fontId="2" fillId="0" borderId="10" xfId="0" applyFont="1" applyBorder="1" applyAlignment="1">
      <alignment horizontal="center" vertical="center"/>
    </xf>
    <xf numFmtId="169" fontId="2" fillId="0" borderId="4" xfId="0" applyNumberFormat="1" applyFont="1" applyBorder="1" applyAlignment="1">
      <alignment horizontal="center" vertical="center" wrapText="1"/>
    </xf>
    <xf numFmtId="173" fontId="2" fillId="0" borderId="4" xfId="0" applyNumberFormat="1" applyFont="1" applyBorder="1" applyAlignment="1">
      <alignment horizontal="center" vertical="center" wrapText="1"/>
    </xf>
    <xf numFmtId="168" fontId="9" fillId="0" borderId="5" xfId="0" applyNumberFormat="1" applyFont="1" applyBorder="1" applyAlignment="1">
      <alignment horizontal="center" vertical="center"/>
    </xf>
    <xf numFmtId="0" fontId="9" fillId="0" borderId="12" xfId="0" applyFont="1" applyBorder="1" applyAlignment="1">
      <alignment horizontal="center" vertical="center"/>
    </xf>
    <xf numFmtId="1" fontId="2" fillId="0" borderId="0" xfId="0" applyNumberFormat="1" applyFont="1" applyBorder="1" applyAlignment="1">
      <alignment horizontal="left" wrapText="1"/>
    </xf>
    <xf numFmtId="1" fontId="29" fillId="0" borderId="0" xfId="0" applyNumberFormat="1" applyFont="1" applyBorder="1" applyAlignment="1">
      <alignment horizontal="left" wrapText="1"/>
    </xf>
    <xf numFmtId="1" fontId="7" fillId="0" borderId="0" xfId="0" applyNumberFormat="1" applyFont="1" applyBorder="1" applyAlignment="1">
      <alignment horizontal="left" vertical="top" wrapText="1"/>
    </xf>
    <xf numFmtId="0" fontId="10" fillId="0" borderId="0" xfId="0" applyFont="1" applyAlignment="1">
      <alignment horizontal="left" vertical="top" wrapText="1"/>
    </xf>
  </cellXfs>
  <cellStyles count="9">
    <cellStyle name="Hiperłącze" xfId="5" builtinId="8"/>
    <cellStyle name="Normal" xfId="8"/>
    <cellStyle name="Normalny" xfId="0" builtinId="0"/>
    <cellStyle name="Normalny 2" xfId="7"/>
    <cellStyle name="Normalny 2 10 2" xfId="3"/>
    <cellStyle name="Normalny 2 3 2" xfId="4"/>
    <cellStyle name="Normalny 5" xfId="2"/>
    <cellStyle name="Normalny 6" xfId="6"/>
    <cellStyle name="Procentowy" xfId="1" builtinId="5"/>
  </cellStyles>
  <dxfs count="0"/>
  <tableStyles count="0" defaultTableStyle="TableStyleMedium2" defaultPivotStyle="PivotStyleLight16"/>
  <colors>
    <mruColors>
      <color rgb="FF001D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tabSelected="1" workbookViewId="0"/>
  </sheetViews>
  <sheetFormatPr defaultColWidth="9.140625" defaultRowHeight="12.75"/>
  <cols>
    <col min="1" max="1" width="5.85546875" style="69" customWidth="1"/>
    <col min="2" max="16384" width="9.140625" style="48"/>
  </cols>
  <sheetData>
    <row r="1" spans="1:16">
      <c r="A1" s="50"/>
      <c r="B1" s="50"/>
      <c r="C1" s="50"/>
      <c r="D1" s="50"/>
      <c r="E1" s="50"/>
      <c r="F1" s="50"/>
      <c r="G1" s="50"/>
      <c r="H1" s="50"/>
      <c r="I1" s="50"/>
      <c r="J1" s="50"/>
      <c r="K1" s="50"/>
      <c r="L1" s="50"/>
      <c r="M1" s="50"/>
      <c r="N1" s="50"/>
      <c r="O1" s="50"/>
    </row>
    <row r="2" spans="1:16" s="2" customFormat="1" ht="24" customHeight="1">
      <c r="A2" s="51"/>
      <c r="B2" s="384" t="s">
        <v>253</v>
      </c>
      <c r="C2" s="384"/>
    </row>
    <row r="3" spans="1:16" s="2" customFormat="1" ht="16.5" customHeight="1">
      <c r="A3" s="51"/>
      <c r="B3" s="52" t="s">
        <v>254</v>
      </c>
    </row>
    <row r="4" spans="1:16" s="2" customFormat="1" ht="20.100000000000001" customHeight="1">
      <c r="A4" s="53">
        <v>1</v>
      </c>
      <c r="B4" s="54" t="s">
        <v>317</v>
      </c>
      <c r="C4" s="50"/>
      <c r="D4" s="50"/>
      <c r="E4" s="50"/>
      <c r="F4" s="50"/>
      <c r="G4" s="50"/>
      <c r="H4" s="50"/>
      <c r="I4" s="50"/>
      <c r="J4" s="50"/>
      <c r="K4" s="55"/>
      <c r="L4" s="55"/>
      <c r="M4" s="55"/>
      <c r="N4" s="55"/>
      <c r="O4" s="55"/>
      <c r="P4" s="55"/>
    </row>
    <row r="5" spans="1:16" s="2" customFormat="1" ht="20.100000000000001" customHeight="1">
      <c r="A5" s="51"/>
      <c r="B5" s="56" t="s">
        <v>261</v>
      </c>
      <c r="C5" s="56"/>
      <c r="D5" s="56"/>
      <c r="E5" s="56"/>
      <c r="F5" s="56"/>
      <c r="G5" s="56"/>
      <c r="H5" s="56"/>
      <c r="I5" s="56"/>
      <c r="J5" s="56"/>
      <c r="K5" s="57"/>
      <c r="L5" s="57"/>
      <c r="M5" s="57"/>
      <c r="N5" s="58"/>
      <c r="O5" s="58"/>
      <c r="P5" s="58"/>
    </row>
    <row r="6" spans="1:16" s="2" customFormat="1" ht="20.100000000000001" customHeight="1">
      <c r="A6" s="53">
        <v>2</v>
      </c>
      <c r="B6" s="54" t="s">
        <v>319</v>
      </c>
      <c r="C6" s="50"/>
      <c r="D6" s="50"/>
      <c r="E6" s="50"/>
      <c r="F6" s="50"/>
      <c r="G6" s="50"/>
      <c r="H6" s="50"/>
      <c r="I6" s="50"/>
      <c r="J6" s="50"/>
      <c r="K6" s="55"/>
      <c r="L6" s="59"/>
      <c r="M6" s="59"/>
      <c r="N6" s="59"/>
      <c r="O6" s="59"/>
      <c r="P6" s="59"/>
    </row>
    <row r="7" spans="1:16" s="2" customFormat="1" ht="20.100000000000001" customHeight="1">
      <c r="A7" s="51"/>
      <c r="B7" s="56" t="s">
        <v>252</v>
      </c>
      <c r="C7" s="56"/>
      <c r="D7" s="56"/>
      <c r="E7" s="56"/>
      <c r="F7" s="56"/>
      <c r="G7" s="56"/>
      <c r="H7" s="56"/>
      <c r="I7" s="56"/>
      <c r="J7" s="56"/>
      <c r="K7" s="56"/>
      <c r="L7" s="60"/>
      <c r="M7" s="60"/>
      <c r="N7" s="60"/>
      <c r="O7" s="60"/>
      <c r="P7" s="60"/>
    </row>
    <row r="8" spans="1:16" s="2" customFormat="1" ht="20.100000000000001" customHeight="1">
      <c r="A8" s="53">
        <v>3</v>
      </c>
      <c r="B8" s="54" t="s">
        <v>318</v>
      </c>
      <c r="C8" s="50"/>
      <c r="D8" s="50"/>
      <c r="E8" s="50"/>
      <c r="F8" s="50"/>
      <c r="G8" s="50"/>
      <c r="H8" s="50"/>
      <c r="I8" s="50"/>
      <c r="J8" s="50"/>
      <c r="K8" s="59"/>
      <c r="L8" s="59"/>
      <c r="M8" s="57"/>
      <c r="N8" s="58"/>
      <c r="O8" s="58"/>
      <c r="P8" s="58"/>
    </row>
    <row r="9" spans="1:16" s="2" customFormat="1" ht="20.100000000000001" customHeight="1">
      <c r="A9" s="61"/>
      <c r="B9" s="56" t="s">
        <v>248</v>
      </c>
      <c r="C9" s="56"/>
      <c r="D9" s="56"/>
      <c r="E9" s="56"/>
      <c r="F9" s="56"/>
      <c r="G9" s="56"/>
      <c r="H9" s="56"/>
      <c r="I9" s="56"/>
      <c r="J9" s="56"/>
      <c r="K9" s="60"/>
      <c r="L9" s="60"/>
      <c r="M9" s="57"/>
      <c r="N9" s="58"/>
      <c r="O9" s="58"/>
      <c r="P9" s="58"/>
    </row>
    <row r="10" spans="1:16" s="58" customFormat="1" ht="20.100000000000001" customHeight="1">
      <c r="A10" s="62">
        <v>4</v>
      </c>
      <c r="B10" s="54" t="s">
        <v>344</v>
      </c>
      <c r="C10" s="50"/>
      <c r="D10" s="50"/>
      <c r="E10" s="50"/>
      <c r="F10" s="50"/>
      <c r="G10" s="50"/>
      <c r="H10" s="50"/>
      <c r="I10" s="50"/>
      <c r="J10" s="50"/>
      <c r="K10" s="50"/>
    </row>
    <row r="11" spans="1:16" s="2" customFormat="1" ht="20.100000000000001" customHeight="1">
      <c r="A11" s="51"/>
      <c r="B11" s="56" t="s">
        <v>258</v>
      </c>
      <c r="C11" s="56"/>
      <c r="D11" s="56"/>
      <c r="E11" s="56"/>
      <c r="F11" s="56"/>
      <c r="G11" s="56"/>
      <c r="H11" s="56"/>
      <c r="I11" s="56"/>
      <c r="J11" s="56"/>
      <c r="K11" s="56"/>
      <c r="L11" s="49"/>
      <c r="M11" s="58"/>
      <c r="N11" s="58"/>
      <c r="O11" s="58"/>
      <c r="P11" s="58"/>
    </row>
    <row r="12" spans="1:16" s="2" customFormat="1" ht="20.100000000000001" customHeight="1">
      <c r="A12" s="53">
        <v>5</v>
      </c>
      <c r="B12" s="54" t="s">
        <v>345</v>
      </c>
      <c r="C12" s="63"/>
      <c r="D12" s="63"/>
      <c r="E12" s="63"/>
      <c r="F12" s="63"/>
      <c r="G12" s="63"/>
      <c r="H12" s="63"/>
      <c r="I12" s="63"/>
      <c r="J12" s="63"/>
      <c r="K12" s="63"/>
      <c r="L12" s="64"/>
      <c r="M12" s="58"/>
      <c r="N12" s="58"/>
      <c r="O12" s="58"/>
      <c r="P12" s="58"/>
    </row>
    <row r="13" spans="1:16" s="2" customFormat="1" ht="20.100000000000001" customHeight="1">
      <c r="A13" s="65"/>
      <c r="B13" s="56" t="s">
        <v>259</v>
      </c>
      <c r="C13" s="63"/>
      <c r="D13" s="63"/>
      <c r="E13" s="63"/>
      <c r="F13" s="63"/>
      <c r="G13" s="63"/>
      <c r="H13" s="63"/>
      <c r="I13" s="63"/>
      <c r="J13" s="63"/>
      <c r="K13" s="63"/>
      <c r="L13" s="64"/>
      <c r="M13" s="58"/>
      <c r="N13" s="58"/>
      <c r="O13" s="58"/>
      <c r="P13" s="58"/>
    </row>
    <row r="14" spans="1:16" s="2" customFormat="1" ht="20.100000000000001" customHeight="1">
      <c r="A14" s="62">
        <v>6</v>
      </c>
      <c r="B14" s="54" t="s">
        <v>255</v>
      </c>
      <c r="C14" s="49"/>
      <c r="D14" s="49"/>
      <c r="E14" s="49"/>
      <c r="F14" s="49"/>
      <c r="G14" s="49"/>
      <c r="H14" s="49"/>
      <c r="I14" s="49"/>
      <c r="J14" s="49"/>
      <c r="K14" s="49"/>
      <c r="L14" s="49"/>
      <c r="M14" s="58"/>
      <c r="N14" s="58"/>
      <c r="O14" s="58"/>
      <c r="P14" s="58"/>
    </row>
    <row r="15" spans="1:16" s="2" customFormat="1" ht="20.100000000000001" customHeight="1">
      <c r="A15" s="66"/>
      <c r="B15" s="56" t="s">
        <v>249</v>
      </c>
      <c r="C15" s="49"/>
      <c r="D15" s="49"/>
      <c r="E15" s="49"/>
      <c r="F15" s="49"/>
      <c r="G15" s="49"/>
      <c r="H15" s="49"/>
      <c r="I15" s="49"/>
      <c r="J15" s="49"/>
      <c r="K15" s="49"/>
      <c r="L15" s="49"/>
      <c r="M15" s="58"/>
      <c r="N15" s="58"/>
      <c r="O15" s="58"/>
      <c r="P15" s="58"/>
    </row>
    <row r="16" spans="1:16" s="2" customFormat="1" ht="20.100000000000001" customHeight="1">
      <c r="A16" s="62">
        <v>7</v>
      </c>
      <c r="B16" s="54" t="s">
        <v>346</v>
      </c>
      <c r="C16" s="49"/>
      <c r="D16" s="49"/>
      <c r="E16" s="49"/>
      <c r="F16" s="49"/>
      <c r="G16" s="49"/>
      <c r="H16" s="49"/>
      <c r="I16" s="49"/>
      <c r="J16" s="49"/>
      <c r="K16" s="49"/>
      <c r="L16" s="49"/>
      <c r="M16" s="58"/>
      <c r="N16" s="58"/>
      <c r="O16" s="58"/>
      <c r="P16" s="58"/>
    </row>
    <row r="17" spans="1:16" s="2" customFormat="1" ht="20.100000000000001" customHeight="1">
      <c r="A17" s="67"/>
      <c r="B17" s="56" t="s">
        <v>347</v>
      </c>
      <c r="C17" s="49"/>
      <c r="D17" s="49"/>
      <c r="E17" s="49"/>
      <c r="F17" s="49"/>
      <c r="G17" s="49"/>
      <c r="H17" s="49"/>
      <c r="I17" s="49"/>
      <c r="J17" s="49"/>
      <c r="K17" s="49"/>
      <c r="L17" s="49"/>
      <c r="M17" s="58"/>
      <c r="N17" s="58"/>
      <c r="O17" s="58"/>
      <c r="P17" s="58"/>
    </row>
    <row r="18" spans="1:16" s="2" customFormat="1" ht="20.100000000000001" customHeight="1">
      <c r="A18" s="62">
        <v>8</v>
      </c>
      <c r="B18" s="54" t="s">
        <v>257</v>
      </c>
      <c r="C18" s="47"/>
      <c r="D18" s="47"/>
      <c r="E18" s="47"/>
      <c r="F18" s="47"/>
      <c r="G18" s="47"/>
      <c r="H18" s="47"/>
      <c r="I18" s="47"/>
      <c r="J18" s="47"/>
      <c r="K18" s="47"/>
      <c r="L18" s="49"/>
      <c r="M18" s="49"/>
      <c r="N18" s="49"/>
      <c r="O18" s="49"/>
      <c r="P18" s="49"/>
    </row>
    <row r="19" spans="1:16" s="2" customFormat="1" ht="20.100000000000001" customHeight="1">
      <c r="A19" s="67"/>
      <c r="B19" s="56" t="s">
        <v>250</v>
      </c>
      <c r="C19" s="47"/>
      <c r="D19" s="47"/>
      <c r="E19" s="47"/>
      <c r="F19" s="47"/>
      <c r="G19" s="47"/>
      <c r="H19" s="47"/>
      <c r="I19" s="47"/>
      <c r="J19" s="47"/>
      <c r="K19" s="47"/>
      <c r="L19" s="49"/>
      <c r="M19" s="49"/>
      <c r="N19" s="49"/>
      <c r="O19" s="49"/>
      <c r="P19" s="49"/>
    </row>
    <row r="20" spans="1:16" s="58" customFormat="1" ht="20.100000000000001" customHeight="1">
      <c r="A20" s="62">
        <v>9</v>
      </c>
      <c r="B20" s="54" t="s">
        <v>341</v>
      </c>
      <c r="C20" s="50"/>
      <c r="D20" s="50"/>
      <c r="E20" s="50"/>
      <c r="F20" s="50"/>
      <c r="G20" s="50"/>
      <c r="H20" s="50"/>
      <c r="I20" s="50"/>
      <c r="J20" s="50"/>
      <c r="K20" s="50"/>
    </row>
    <row r="21" spans="1:16" s="2" customFormat="1" ht="20.100000000000001" customHeight="1">
      <c r="A21" s="51"/>
      <c r="B21" s="56" t="s">
        <v>342</v>
      </c>
      <c r="C21" s="56"/>
      <c r="D21" s="56"/>
      <c r="E21" s="56"/>
      <c r="F21" s="56"/>
      <c r="G21" s="56"/>
      <c r="H21" s="56"/>
      <c r="I21" s="56"/>
      <c r="J21" s="56"/>
      <c r="K21" s="56"/>
      <c r="L21" s="60"/>
      <c r="M21" s="58"/>
      <c r="N21" s="58"/>
      <c r="O21" s="58"/>
      <c r="P21" s="58"/>
    </row>
    <row r="22" spans="1:16" s="2" customFormat="1" ht="20.100000000000001" customHeight="1">
      <c r="A22" s="62">
        <v>10</v>
      </c>
      <c r="B22" s="54" t="s">
        <v>260</v>
      </c>
      <c r="C22" s="50"/>
      <c r="D22" s="50"/>
      <c r="E22" s="50"/>
      <c r="F22" s="50"/>
      <c r="G22" s="50"/>
      <c r="H22" s="50"/>
      <c r="I22" s="50"/>
      <c r="J22" s="50"/>
      <c r="K22" s="50"/>
      <c r="L22" s="58"/>
      <c r="M22" s="58"/>
      <c r="N22" s="58"/>
      <c r="O22" s="58"/>
      <c r="P22" s="58"/>
    </row>
    <row r="23" spans="1:16" s="2" customFormat="1" ht="20.100000000000001" customHeight="1">
      <c r="A23" s="66"/>
      <c r="B23" s="56" t="s">
        <v>251</v>
      </c>
      <c r="C23" s="50"/>
      <c r="D23" s="50"/>
      <c r="E23" s="50"/>
      <c r="F23" s="50"/>
      <c r="G23" s="50"/>
      <c r="H23" s="50"/>
      <c r="I23" s="50"/>
      <c r="J23" s="50"/>
      <c r="K23" s="50"/>
      <c r="L23" s="58"/>
      <c r="M23" s="58"/>
      <c r="N23" s="58"/>
      <c r="O23" s="58"/>
      <c r="P23" s="58"/>
    </row>
    <row r="24" spans="1:16" s="58" customFormat="1" ht="20.100000000000001" customHeight="1">
      <c r="A24" s="62">
        <v>11</v>
      </c>
      <c r="B24" s="54" t="s">
        <v>348</v>
      </c>
      <c r="C24" s="50"/>
      <c r="D24" s="50"/>
      <c r="E24" s="50"/>
      <c r="F24" s="50"/>
      <c r="G24" s="50"/>
      <c r="H24" s="50"/>
      <c r="I24" s="50"/>
      <c r="J24" s="50"/>
      <c r="K24" s="50"/>
    </row>
    <row r="25" spans="1:16" s="2" customFormat="1" ht="20.100000000000001" customHeight="1">
      <c r="A25" s="68"/>
      <c r="B25" s="56" t="s">
        <v>343</v>
      </c>
      <c r="C25" s="56"/>
      <c r="D25" s="56"/>
      <c r="E25" s="56"/>
      <c r="F25" s="56"/>
      <c r="G25" s="56"/>
      <c r="H25" s="56"/>
      <c r="I25" s="56"/>
      <c r="J25" s="56"/>
      <c r="K25" s="56"/>
      <c r="L25" s="60"/>
      <c r="M25" s="60"/>
      <c r="N25" s="60"/>
      <c r="O25" s="60"/>
      <c r="P25" s="60"/>
    </row>
    <row r="26" spans="1:16" s="2" customFormat="1" ht="20.100000000000001" customHeight="1">
      <c r="A26" s="62">
        <v>12</v>
      </c>
      <c r="B26" s="54" t="s">
        <v>349</v>
      </c>
      <c r="C26" s="50"/>
      <c r="D26" s="50"/>
      <c r="E26" s="50"/>
      <c r="F26" s="50"/>
      <c r="G26" s="50"/>
      <c r="H26" s="50"/>
      <c r="I26" s="50"/>
      <c r="J26" s="50"/>
      <c r="K26" s="57"/>
      <c r="L26" s="57"/>
      <c r="M26" s="58"/>
      <c r="N26" s="58"/>
      <c r="O26" s="58"/>
      <c r="P26" s="58"/>
    </row>
    <row r="27" spans="1:16" s="2" customFormat="1" ht="20.100000000000001" customHeight="1">
      <c r="A27" s="68"/>
      <c r="B27" s="56" t="s">
        <v>350</v>
      </c>
      <c r="C27" s="55"/>
      <c r="D27" s="55"/>
      <c r="E27" s="55"/>
      <c r="F27" s="55"/>
      <c r="G27" s="55"/>
      <c r="H27" s="55"/>
      <c r="I27" s="55"/>
      <c r="J27" s="55"/>
      <c r="K27" s="55"/>
      <c r="L27" s="55"/>
      <c r="M27" s="55"/>
      <c r="N27" s="55"/>
      <c r="O27" s="55"/>
      <c r="P27" s="55"/>
    </row>
    <row r="28" spans="1:16" s="2" customFormat="1">
      <c r="A28" s="68"/>
      <c r="B28" s="55"/>
      <c r="C28" s="55"/>
      <c r="D28" s="55"/>
      <c r="E28" s="55"/>
      <c r="F28" s="55"/>
      <c r="G28" s="55"/>
      <c r="H28" s="55"/>
      <c r="I28" s="55"/>
      <c r="J28" s="55"/>
      <c r="K28" s="55"/>
      <c r="L28" s="55"/>
      <c r="M28" s="55"/>
      <c r="N28" s="55"/>
      <c r="O28" s="55"/>
      <c r="P28" s="55"/>
    </row>
    <row r="29" spans="1:16">
      <c r="B29" s="383"/>
    </row>
    <row r="30" spans="1:16">
      <c r="B30" s="56"/>
    </row>
  </sheetData>
  <mergeCells count="1">
    <mergeCell ref="B2:C2"/>
  </mergeCells>
  <hyperlinks>
    <hyperlink ref="A10" location="'4'!A1" display="'4'!A1"/>
    <hyperlink ref="A12" location="'5'!A1" display="'5'!A1"/>
    <hyperlink ref="A14" location="'6'!A1" display="'6'!A1"/>
    <hyperlink ref="A16" location="'7'!A1" display="'7'!A1"/>
    <hyperlink ref="A18" location="'8 '!A1" display="'8 '!A1"/>
    <hyperlink ref="A20" location="'9'!A1" display="'9'!A1"/>
    <hyperlink ref="A22" location="'10'!A1" display="'10'!A1"/>
    <hyperlink ref="A24" location="'11'!A1" display="'11'!A1"/>
    <hyperlink ref="A26" location="'12'!A1" display="'12'!A1"/>
    <hyperlink ref="A4" location="'1'!A1" display="'1'!A1"/>
    <hyperlink ref="A6" location="'2'!A1" display="'2'!A1"/>
    <hyperlink ref="A8:A9" location="'3'!A1" display="'3'!A1"/>
    <hyperlink ref="B4" location="'1'!A2" display="PRODUKCJA BUDOWLANO-MONTAŻOWA ZREALIZOWANA NA TERENIE KRAJU W LATACH 2005-2017"/>
    <hyperlink ref="B6" location="'2'!A2" display="PRODUKCJA BUDOWLANO-MONTAŻOWA ZREALIZOWANA NA TERENIE KRAJU W JEDNOSTKACH BUDOWLANYCH WEDŁUG WOJEWÓDZTW ― MIEJSCA WYKONYWANIA ROBÓT W LATACH 2016 - 2017"/>
    <hyperlink ref="B8" location="'3'!A2" display="WSKAŹNIKI CEN PRODUKCJI BUDOWLANO-MONTAŻOWEJ"/>
    <hyperlink ref="B10" location="'4'!A2" display="PRODUKCJA BUDOWLANO-MONTAŻOWA WEDŁUG WOJEWÓDZTW ORAZ SIEDZIBY ZARZĄDU PRZEDSIĘBIORSTWA I MIEJSCA WYKONYWANIA ROBÓT W JEDNOSTKACH BUDOWLANYCH O LICZBIE PRACUJĄCYCH POWYŻEJ 9 OSÓB W 2017 R."/>
    <hyperlink ref="B12" location="'5'!A2" display="PRODUKCJA BUDOWLANO-MONTAŻOWA WEDŁUG WOJEWÓDZTW ORAZ SIEDZIBY ZARZĄDU PRZEDSIĘBIORSTW I MIEJSCA WYKONYWANIA ROBÓT W JEDNOSTKACH BUDOWLANYCH O LICZBIE PRACUJĄCYCH POWYŻEJ 9 OSÓB W LATACH 2013-2017"/>
    <hyperlink ref="B14" location="'6'!A2" display="PRODUKCJA BUDOWLANO-MONTAŻOWA WEDŁUG SIEDZIBY ZARZĄDU PRZEDSIĘBIORSTWA WEDŁUG RODZAJÓW REALIZOWANYCH OBIEKTÓW BUDOWLANYCH (KLASYFIKACJA PKOB) W PRZEDSIĘBIORSTWACH BUDOWLANYCH O LICZBIE PRACUJĄCYCH POWYŻEJ 9 OSÓB W LATACH 2013-2017"/>
    <hyperlink ref="B16" location="'7'!A2" display="PRODUKCJA BUDOWLANO-MONTAŻOWA WEDŁUG WOJEWÓDZTW, WEDŁUG SIEDZIBY ZARZĄDU PRZEDSIĘBIORSTWA, RODZAJÓW REALIZOWANYCH OBIEKTÓW BUDOWLANYCH (KLASYFIKACJA PKOB) W PRZEDSIĘBIORSTWACH BUDOWLANYCH O LICZBIE PRACUJĄCYCH POWYŻEJ 9 OSÓB W 2017 R. "/>
    <hyperlink ref="B18" location="'8 '!A2" display="PRODUKCJA BUDOWLANO-MONTAŻOWA WEDŁUG SIEDZIBY ZARZĄDU PRZEDSIĘBIORSTWA, WEDŁUG PODSTAWOWEGO RODZAJU DZIAŁALNOŚCI (KLASYFIKACJA - GRUPY PKD 2007), WEDŁUG SEKTORÓW W PRZEDSIĘBIORSTWACH BUDOWLANYCH O LICZBIE PRACUJĄCYCH POWYŻEJ 9 OSÓB W LATACH 2013-2017"/>
    <hyperlink ref="B20" location="'9'!A2" display="PRODUKCJA BUDOWLANO-MONTAŻOWA WEDŁUG WOJEWÓDZTW, WEDŁUG SIEDZIBY ZARZĄDU PRZEDSIĘBIORSTWA, WEDŁUG PODSTAWOWEGO RODZAJU DZIAŁALNOŚCI (KLASYFIKACJA - GRUPY PKD 2007) W PRZEDSIĘBIORSTWACH BUDOWLANYCH O LICZBIE PRACUJĄCYCH POWYŻEJ 9 OSÓB W 2017 R. "/>
    <hyperlink ref="B22" location="'10'!A2" display="STRUKTURA KOSZTÓW PRODUKCJI BUDOWLANO-MONTAŻOWEJ W UKŁADZIE KALKULACYJNYM W JEDNOSTKACH BUDOWLANYCH O LICZBIE PRACUJĄCYCH POWYŻEJ 9 OSÓB W 2017 R."/>
    <hyperlink ref="B24" location="'11'!A2" display="PRODUKCJA BUDOWLANO-MONTAŻOWA I PRZECIĘTNE ZATRUDNIENIE WEDŁUG KRAJÓW —  MIEJSCA WYKONYWANIA ROBÓT, ZREALZOWANA POZA GRANICAMI KRAJU PRZEZ JEDNOSTKI BUDOWLANE I NIEBUDOWLANE O LICZBIE PRACUJĄCYCH POWYŻEJ 9 OSÓB W 2017 R"/>
    <hyperlink ref="B26" location="'12'!A2" display="PRODUKCJA BUDOWLANO-MONTAŻOWA I PRZECIĘTNE ZATRUDNIENIE WEDŁUG KRAJÓW —  MIEJSCA WYKONYWANIA ROBÓT, ZREALZOWANA POZA GRANICAMI KRAJU PRZEZ JEDNOSTKI BUDOWLANE O LICZBIE PRACUJĄCYCH POWYŻEJ 9 OSÓB W 2017 R WEDŁUG WOJEWÓDZTW"/>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65"/>
  <sheetViews>
    <sheetView zoomScaleNormal="100" workbookViewId="0">
      <pane ySplit="4" topLeftCell="A5" activePane="bottomLeft" state="frozen"/>
      <selection pane="bottomLeft"/>
    </sheetView>
  </sheetViews>
  <sheetFormatPr defaultColWidth="10.42578125" defaultRowHeight="12.75"/>
  <cols>
    <col min="1" max="1" width="51.42578125" style="271" customWidth="1"/>
    <col min="2" max="2" width="13.42578125" style="144" customWidth="1"/>
    <col min="3" max="3" width="13.42578125" style="135" customWidth="1"/>
    <col min="4" max="4" width="13.42578125" style="273" customWidth="1"/>
    <col min="5" max="16" width="13.42578125" style="135" customWidth="1"/>
    <col min="17" max="17" width="13.5703125" style="135" customWidth="1"/>
    <col min="18" max="252" width="10.42578125" style="135"/>
    <col min="253" max="253" width="36.42578125" style="135" customWidth="1"/>
    <col min="254" max="254" width="12.7109375" style="135" customWidth="1"/>
    <col min="255" max="255" width="9.28515625" style="135" customWidth="1"/>
    <col min="256" max="256" width="13.7109375" style="135" customWidth="1"/>
    <col min="257" max="257" width="10.28515625" style="135" customWidth="1"/>
    <col min="258" max="258" width="14.140625" style="135" customWidth="1"/>
    <col min="259" max="508" width="10.42578125" style="135"/>
    <col min="509" max="509" width="36.42578125" style="135" customWidth="1"/>
    <col min="510" max="510" width="12.7109375" style="135" customWidth="1"/>
    <col min="511" max="511" width="9.28515625" style="135" customWidth="1"/>
    <col min="512" max="512" width="13.7109375" style="135" customWidth="1"/>
    <col min="513" max="513" width="10.28515625" style="135" customWidth="1"/>
    <col min="514" max="514" width="14.140625" style="135" customWidth="1"/>
    <col min="515" max="764" width="10.42578125" style="135"/>
    <col min="765" max="765" width="36.42578125" style="135" customWidth="1"/>
    <col min="766" max="766" width="12.7109375" style="135" customWidth="1"/>
    <col min="767" max="767" width="9.28515625" style="135" customWidth="1"/>
    <col min="768" max="768" width="13.7109375" style="135" customWidth="1"/>
    <col min="769" max="769" width="10.28515625" style="135" customWidth="1"/>
    <col min="770" max="770" width="14.140625" style="135" customWidth="1"/>
    <col min="771" max="1020" width="10.42578125" style="135"/>
    <col min="1021" max="1021" width="36.42578125" style="135" customWidth="1"/>
    <col min="1022" max="1022" width="12.7109375" style="135" customWidth="1"/>
    <col min="1023" max="1023" width="9.28515625" style="135" customWidth="1"/>
    <col min="1024" max="1024" width="13.7109375" style="135" customWidth="1"/>
    <col min="1025" max="1025" width="10.28515625" style="135" customWidth="1"/>
    <col min="1026" max="1026" width="14.140625" style="135" customWidth="1"/>
    <col min="1027" max="1276" width="10.42578125" style="135"/>
    <col min="1277" max="1277" width="36.42578125" style="135" customWidth="1"/>
    <col min="1278" max="1278" width="12.7109375" style="135" customWidth="1"/>
    <col min="1279" max="1279" width="9.28515625" style="135" customWidth="1"/>
    <col min="1280" max="1280" width="13.7109375" style="135" customWidth="1"/>
    <col min="1281" max="1281" width="10.28515625" style="135" customWidth="1"/>
    <col min="1282" max="1282" width="14.140625" style="135" customWidth="1"/>
    <col min="1283" max="1532" width="10.42578125" style="135"/>
    <col min="1533" max="1533" width="36.42578125" style="135" customWidth="1"/>
    <col min="1534" max="1534" width="12.7109375" style="135" customWidth="1"/>
    <col min="1535" max="1535" width="9.28515625" style="135" customWidth="1"/>
    <col min="1536" max="1536" width="13.7109375" style="135" customWidth="1"/>
    <col min="1537" max="1537" width="10.28515625" style="135" customWidth="1"/>
    <col min="1538" max="1538" width="14.140625" style="135" customWidth="1"/>
    <col min="1539" max="1788" width="10.42578125" style="135"/>
    <col min="1789" max="1789" width="36.42578125" style="135" customWidth="1"/>
    <col min="1790" max="1790" width="12.7109375" style="135" customWidth="1"/>
    <col min="1791" max="1791" width="9.28515625" style="135" customWidth="1"/>
    <col min="1792" max="1792" width="13.7109375" style="135" customWidth="1"/>
    <col min="1793" max="1793" width="10.28515625" style="135" customWidth="1"/>
    <col min="1794" max="1794" width="14.140625" style="135" customWidth="1"/>
    <col min="1795" max="2044" width="10.42578125" style="135"/>
    <col min="2045" max="2045" width="36.42578125" style="135" customWidth="1"/>
    <col min="2046" max="2046" width="12.7109375" style="135" customWidth="1"/>
    <col min="2047" max="2047" width="9.28515625" style="135" customWidth="1"/>
    <col min="2048" max="2048" width="13.7109375" style="135" customWidth="1"/>
    <col min="2049" max="2049" width="10.28515625" style="135" customWidth="1"/>
    <col min="2050" max="2050" width="14.140625" style="135" customWidth="1"/>
    <col min="2051" max="2300" width="10.42578125" style="135"/>
    <col min="2301" max="2301" width="36.42578125" style="135" customWidth="1"/>
    <col min="2302" max="2302" width="12.7109375" style="135" customWidth="1"/>
    <col min="2303" max="2303" width="9.28515625" style="135" customWidth="1"/>
    <col min="2304" max="2304" width="13.7109375" style="135" customWidth="1"/>
    <col min="2305" max="2305" width="10.28515625" style="135" customWidth="1"/>
    <col min="2306" max="2306" width="14.140625" style="135" customWidth="1"/>
    <col min="2307" max="2556" width="10.42578125" style="135"/>
    <col min="2557" max="2557" width="36.42578125" style="135" customWidth="1"/>
    <col min="2558" max="2558" width="12.7109375" style="135" customWidth="1"/>
    <col min="2559" max="2559" width="9.28515625" style="135" customWidth="1"/>
    <col min="2560" max="2560" width="13.7109375" style="135" customWidth="1"/>
    <col min="2561" max="2561" width="10.28515625" style="135" customWidth="1"/>
    <col min="2562" max="2562" width="14.140625" style="135" customWidth="1"/>
    <col min="2563" max="2812" width="10.42578125" style="135"/>
    <col min="2813" max="2813" width="36.42578125" style="135" customWidth="1"/>
    <col min="2814" max="2814" width="12.7109375" style="135" customWidth="1"/>
    <col min="2815" max="2815" width="9.28515625" style="135" customWidth="1"/>
    <col min="2816" max="2816" width="13.7109375" style="135" customWidth="1"/>
    <col min="2817" max="2817" width="10.28515625" style="135" customWidth="1"/>
    <col min="2818" max="2818" width="14.140625" style="135" customWidth="1"/>
    <col min="2819" max="3068" width="10.42578125" style="135"/>
    <col min="3069" max="3069" width="36.42578125" style="135" customWidth="1"/>
    <col min="3070" max="3070" width="12.7109375" style="135" customWidth="1"/>
    <col min="3071" max="3071" width="9.28515625" style="135" customWidth="1"/>
    <col min="3072" max="3072" width="13.7109375" style="135" customWidth="1"/>
    <col min="3073" max="3073" width="10.28515625" style="135" customWidth="1"/>
    <col min="3074" max="3074" width="14.140625" style="135" customWidth="1"/>
    <col min="3075" max="3324" width="10.42578125" style="135"/>
    <col min="3325" max="3325" width="36.42578125" style="135" customWidth="1"/>
    <col min="3326" max="3326" width="12.7109375" style="135" customWidth="1"/>
    <col min="3327" max="3327" width="9.28515625" style="135" customWidth="1"/>
    <col min="3328" max="3328" width="13.7109375" style="135" customWidth="1"/>
    <col min="3329" max="3329" width="10.28515625" style="135" customWidth="1"/>
    <col min="3330" max="3330" width="14.140625" style="135" customWidth="1"/>
    <col min="3331" max="3580" width="10.42578125" style="135"/>
    <col min="3581" max="3581" width="36.42578125" style="135" customWidth="1"/>
    <col min="3582" max="3582" width="12.7109375" style="135" customWidth="1"/>
    <col min="3583" max="3583" width="9.28515625" style="135" customWidth="1"/>
    <col min="3584" max="3584" width="13.7109375" style="135" customWidth="1"/>
    <col min="3585" max="3585" width="10.28515625" style="135" customWidth="1"/>
    <col min="3586" max="3586" width="14.140625" style="135" customWidth="1"/>
    <col min="3587" max="3836" width="10.42578125" style="135"/>
    <col min="3837" max="3837" width="36.42578125" style="135" customWidth="1"/>
    <col min="3838" max="3838" width="12.7109375" style="135" customWidth="1"/>
    <col min="3839" max="3839" width="9.28515625" style="135" customWidth="1"/>
    <col min="3840" max="3840" width="13.7109375" style="135" customWidth="1"/>
    <col min="3841" max="3841" width="10.28515625" style="135" customWidth="1"/>
    <col min="3842" max="3842" width="14.140625" style="135" customWidth="1"/>
    <col min="3843" max="4092" width="10.42578125" style="135"/>
    <col min="4093" max="4093" width="36.42578125" style="135" customWidth="1"/>
    <col min="4094" max="4094" width="12.7109375" style="135" customWidth="1"/>
    <col min="4095" max="4095" width="9.28515625" style="135" customWidth="1"/>
    <col min="4096" max="4096" width="13.7109375" style="135" customWidth="1"/>
    <col min="4097" max="4097" width="10.28515625" style="135" customWidth="1"/>
    <col min="4098" max="4098" width="14.140625" style="135" customWidth="1"/>
    <col min="4099" max="4348" width="10.42578125" style="135"/>
    <col min="4349" max="4349" width="36.42578125" style="135" customWidth="1"/>
    <col min="4350" max="4350" width="12.7109375" style="135" customWidth="1"/>
    <col min="4351" max="4351" width="9.28515625" style="135" customWidth="1"/>
    <col min="4352" max="4352" width="13.7109375" style="135" customWidth="1"/>
    <col min="4353" max="4353" width="10.28515625" style="135" customWidth="1"/>
    <col min="4354" max="4354" width="14.140625" style="135" customWidth="1"/>
    <col min="4355" max="4604" width="10.42578125" style="135"/>
    <col min="4605" max="4605" width="36.42578125" style="135" customWidth="1"/>
    <col min="4606" max="4606" width="12.7109375" style="135" customWidth="1"/>
    <col min="4607" max="4607" width="9.28515625" style="135" customWidth="1"/>
    <col min="4608" max="4608" width="13.7109375" style="135" customWidth="1"/>
    <col min="4609" max="4609" width="10.28515625" style="135" customWidth="1"/>
    <col min="4610" max="4610" width="14.140625" style="135" customWidth="1"/>
    <col min="4611" max="4860" width="10.42578125" style="135"/>
    <col min="4861" max="4861" width="36.42578125" style="135" customWidth="1"/>
    <col min="4862" max="4862" width="12.7109375" style="135" customWidth="1"/>
    <col min="4863" max="4863" width="9.28515625" style="135" customWidth="1"/>
    <col min="4864" max="4864" width="13.7109375" style="135" customWidth="1"/>
    <col min="4865" max="4865" width="10.28515625" style="135" customWidth="1"/>
    <col min="4866" max="4866" width="14.140625" style="135" customWidth="1"/>
    <col min="4867" max="5116" width="10.42578125" style="135"/>
    <col min="5117" max="5117" width="36.42578125" style="135" customWidth="1"/>
    <col min="5118" max="5118" width="12.7109375" style="135" customWidth="1"/>
    <col min="5119" max="5119" width="9.28515625" style="135" customWidth="1"/>
    <col min="5120" max="5120" width="13.7109375" style="135" customWidth="1"/>
    <col min="5121" max="5121" width="10.28515625" style="135" customWidth="1"/>
    <col min="5122" max="5122" width="14.140625" style="135" customWidth="1"/>
    <col min="5123" max="5372" width="10.42578125" style="135"/>
    <col min="5373" max="5373" width="36.42578125" style="135" customWidth="1"/>
    <col min="5374" max="5374" width="12.7109375" style="135" customWidth="1"/>
    <col min="5375" max="5375" width="9.28515625" style="135" customWidth="1"/>
    <col min="5376" max="5376" width="13.7109375" style="135" customWidth="1"/>
    <col min="5377" max="5377" width="10.28515625" style="135" customWidth="1"/>
    <col min="5378" max="5378" width="14.140625" style="135" customWidth="1"/>
    <col min="5379" max="5628" width="10.42578125" style="135"/>
    <col min="5629" max="5629" width="36.42578125" style="135" customWidth="1"/>
    <col min="5630" max="5630" width="12.7109375" style="135" customWidth="1"/>
    <col min="5631" max="5631" width="9.28515625" style="135" customWidth="1"/>
    <col min="5632" max="5632" width="13.7109375" style="135" customWidth="1"/>
    <col min="5633" max="5633" width="10.28515625" style="135" customWidth="1"/>
    <col min="5634" max="5634" width="14.140625" style="135" customWidth="1"/>
    <col min="5635" max="5884" width="10.42578125" style="135"/>
    <col min="5885" max="5885" width="36.42578125" style="135" customWidth="1"/>
    <col min="5886" max="5886" width="12.7109375" style="135" customWidth="1"/>
    <col min="5887" max="5887" width="9.28515625" style="135" customWidth="1"/>
    <col min="5888" max="5888" width="13.7109375" style="135" customWidth="1"/>
    <col min="5889" max="5889" width="10.28515625" style="135" customWidth="1"/>
    <col min="5890" max="5890" width="14.140625" style="135" customWidth="1"/>
    <col min="5891" max="6140" width="10.42578125" style="135"/>
    <col min="6141" max="6141" width="36.42578125" style="135" customWidth="1"/>
    <col min="6142" max="6142" width="12.7109375" style="135" customWidth="1"/>
    <col min="6143" max="6143" width="9.28515625" style="135" customWidth="1"/>
    <col min="6144" max="6144" width="13.7109375" style="135" customWidth="1"/>
    <col min="6145" max="6145" width="10.28515625" style="135" customWidth="1"/>
    <col min="6146" max="6146" width="14.140625" style="135" customWidth="1"/>
    <col min="6147" max="6396" width="10.42578125" style="135"/>
    <col min="6397" max="6397" width="36.42578125" style="135" customWidth="1"/>
    <col min="6398" max="6398" width="12.7109375" style="135" customWidth="1"/>
    <col min="6399" max="6399" width="9.28515625" style="135" customWidth="1"/>
    <col min="6400" max="6400" width="13.7109375" style="135" customWidth="1"/>
    <col min="6401" max="6401" width="10.28515625" style="135" customWidth="1"/>
    <col min="6402" max="6402" width="14.140625" style="135" customWidth="1"/>
    <col min="6403" max="6652" width="10.42578125" style="135"/>
    <col min="6653" max="6653" width="36.42578125" style="135" customWidth="1"/>
    <col min="6654" max="6654" width="12.7109375" style="135" customWidth="1"/>
    <col min="6655" max="6655" width="9.28515625" style="135" customWidth="1"/>
    <col min="6656" max="6656" width="13.7109375" style="135" customWidth="1"/>
    <col min="6657" max="6657" width="10.28515625" style="135" customWidth="1"/>
    <col min="6658" max="6658" width="14.140625" style="135" customWidth="1"/>
    <col min="6659" max="6908" width="10.42578125" style="135"/>
    <col min="6909" max="6909" width="36.42578125" style="135" customWidth="1"/>
    <col min="6910" max="6910" width="12.7109375" style="135" customWidth="1"/>
    <col min="6911" max="6911" width="9.28515625" style="135" customWidth="1"/>
    <col min="6912" max="6912" width="13.7109375" style="135" customWidth="1"/>
    <col min="6913" max="6913" width="10.28515625" style="135" customWidth="1"/>
    <col min="6914" max="6914" width="14.140625" style="135" customWidth="1"/>
    <col min="6915" max="7164" width="10.42578125" style="135"/>
    <col min="7165" max="7165" width="36.42578125" style="135" customWidth="1"/>
    <col min="7166" max="7166" width="12.7109375" style="135" customWidth="1"/>
    <col min="7167" max="7167" width="9.28515625" style="135" customWidth="1"/>
    <col min="7168" max="7168" width="13.7109375" style="135" customWidth="1"/>
    <col min="7169" max="7169" width="10.28515625" style="135" customWidth="1"/>
    <col min="7170" max="7170" width="14.140625" style="135" customWidth="1"/>
    <col min="7171" max="7420" width="10.42578125" style="135"/>
    <col min="7421" max="7421" width="36.42578125" style="135" customWidth="1"/>
    <col min="7422" max="7422" width="12.7109375" style="135" customWidth="1"/>
    <col min="7423" max="7423" width="9.28515625" style="135" customWidth="1"/>
    <col min="7424" max="7424" width="13.7109375" style="135" customWidth="1"/>
    <col min="7425" max="7425" width="10.28515625" style="135" customWidth="1"/>
    <col min="7426" max="7426" width="14.140625" style="135" customWidth="1"/>
    <col min="7427" max="7676" width="10.42578125" style="135"/>
    <col min="7677" max="7677" width="36.42578125" style="135" customWidth="1"/>
    <col min="7678" max="7678" width="12.7109375" style="135" customWidth="1"/>
    <col min="7679" max="7679" width="9.28515625" style="135" customWidth="1"/>
    <col min="7680" max="7680" width="13.7109375" style="135" customWidth="1"/>
    <col min="7681" max="7681" width="10.28515625" style="135" customWidth="1"/>
    <col min="7682" max="7682" width="14.140625" style="135" customWidth="1"/>
    <col min="7683" max="7932" width="10.42578125" style="135"/>
    <col min="7933" max="7933" width="36.42578125" style="135" customWidth="1"/>
    <col min="7934" max="7934" width="12.7109375" style="135" customWidth="1"/>
    <col min="7935" max="7935" width="9.28515625" style="135" customWidth="1"/>
    <col min="7936" max="7936" width="13.7109375" style="135" customWidth="1"/>
    <col min="7937" max="7937" width="10.28515625" style="135" customWidth="1"/>
    <col min="7938" max="7938" width="14.140625" style="135" customWidth="1"/>
    <col min="7939" max="8188" width="10.42578125" style="135"/>
    <col min="8189" max="8189" width="36.42578125" style="135" customWidth="1"/>
    <col min="8190" max="8190" width="12.7109375" style="135" customWidth="1"/>
    <col min="8191" max="8191" width="9.28515625" style="135" customWidth="1"/>
    <col min="8192" max="8192" width="13.7109375" style="135" customWidth="1"/>
    <col min="8193" max="8193" width="10.28515625" style="135" customWidth="1"/>
    <col min="8194" max="8194" width="14.140625" style="135" customWidth="1"/>
    <col min="8195" max="8444" width="10.42578125" style="135"/>
    <col min="8445" max="8445" width="36.42578125" style="135" customWidth="1"/>
    <col min="8446" max="8446" width="12.7109375" style="135" customWidth="1"/>
    <col min="8447" max="8447" width="9.28515625" style="135" customWidth="1"/>
    <col min="8448" max="8448" width="13.7109375" style="135" customWidth="1"/>
    <col min="8449" max="8449" width="10.28515625" style="135" customWidth="1"/>
    <col min="8450" max="8450" width="14.140625" style="135" customWidth="1"/>
    <col min="8451" max="8700" width="10.42578125" style="135"/>
    <col min="8701" max="8701" width="36.42578125" style="135" customWidth="1"/>
    <col min="8702" max="8702" width="12.7109375" style="135" customWidth="1"/>
    <col min="8703" max="8703" width="9.28515625" style="135" customWidth="1"/>
    <col min="8704" max="8704" width="13.7109375" style="135" customWidth="1"/>
    <col min="8705" max="8705" width="10.28515625" style="135" customWidth="1"/>
    <col min="8706" max="8706" width="14.140625" style="135" customWidth="1"/>
    <col min="8707" max="8956" width="10.42578125" style="135"/>
    <col min="8957" max="8957" width="36.42578125" style="135" customWidth="1"/>
    <col min="8958" max="8958" width="12.7109375" style="135" customWidth="1"/>
    <col min="8959" max="8959" width="9.28515625" style="135" customWidth="1"/>
    <col min="8960" max="8960" width="13.7109375" style="135" customWidth="1"/>
    <col min="8961" max="8961" width="10.28515625" style="135" customWidth="1"/>
    <col min="8962" max="8962" width="14.140625" style="135" customWidth="1"/>
    <col min="8963" max="9212" width="10.42578125" style="135"/>
    <col min="9213" max="9213" width="36.42578125" style="135" customWidth="1"/>
    <col min="9214" max="9214" width="12.7109375" style="135" customWidth="1"/>
    <col min="9215" max="9215" width="9.28515625" style="135" customWidth="1"/>
    <col min="9216" max="9216" width="13.7109375" style="135" customWidth="1"/>
    <col min="9217" max="9217" width="10.28515625" style="135" customWidth="1"/>
    <col min="9218" max="9218" width="14.140625" style="135" customWidth="1"/>
    <col min="9219" max="9468" width="10.42578125" style="135"/>
    <col min="9469" max="9469" width="36.42578125" style="135" customWidth="1"/>
    <col min="9470" max="9470" width="12.7109375" style="135" customWidth="1"/>
    <col min="9471" max="9471" width="9.28515625" style="135" customWidth="1"/>
    <col min="9472" max="9472" width="13.7109375" style="135" customWidth="1"/>
    <col min="9473" max="9473" width="10.28515625" style="135" customWidth="1"/>
    <col min="9474" max="9474" width="14.140625" style="135" customWidth="1"/>
    <col min="9475" max="9724" width="10.42578125" style="135"/>
    <col min="9725" max="9725" width="36.42578125" style="135" customWidth="1"/>
    <col min="9726" max="9726" width="12.7109375" style="135" customWidth="1"/>
    <col min="9727" max="9727" width="9.28515625" style="135" customWidth="1"/>
    <col min="9728" max="9728" width="13.7109375" style="135" customWidth="1"/>
    <col min="9729" max="9729" width="10.28515625" style="135" customWidth="1"/>
    <col min="9730" max="9730" width="14.140625" style="135" customWidth="1"/>
    <col min="9731" max="9980" width="10.42578125" style="135"/>
    <col min="9981" max="9981" width="36.42578125" style="135" customWidth="1"/>
    <col min="9982" max="9982" width="12.7109375" style="135" customWidth="1"/>
    <col min="9983" max="9983" width="9.28515625" style="135" customWidth="1"/>
    <col min="9984" max="9984" width="13.7109375" style="135" customWidth="1"/>
    <col min="9985" max="9985" width="10.28515625" style="135" customWidth="1"/>
    <col min="9986" max="9986" width="14.140625" style="135" customWidth="1"/>
    <col min="9987" max="10236" width="10.42578125" style="135"/>
    <col min="10237" max="10237" width="36.42578125" style="135" customWidth="1"/>
    <col min="10238" max="10238" width="12.7109375" style="135" customWidth="1"/>
    <col min="10239" max="10239" width="9.28515625" style="135" customWidth="1"/>
    <col min="10240" max="10240" width="13.7109375" style="135" customWidth="1"/>
    <col min="10241" max="10241" width="10.28515625" style="135" customWidth="1"/>
    <col min="10242" max="10242" width="14.140625" style="135" customWidth="1"/>
    <col min="10243" max="10492" width="10.42578125" style="135"/>
    <col min="10493" max="10493" width="36.42578125" style="135" customWidth="1"/>
    <col min="10494" max="10494" width="12.7109375" style="135" customWidth="1"/>
    <col min="10495" max="10495" width="9.28515625" style="135" customWidth="1"/>
    <col min="10496" max="10496" width="13.7109375" style="135" customWidth="1"/>
    <col min="10497" max="10497" width="10.28515625" style="135" customWidth="1"/>
    <col min="10498" max="10498" width="14.140625" style="135" customWidth="1"/>
    <col min="10499" max="10748" width="10.42578125" style="135"/>
    <col min="10749" max="10749" width="36.42578125" style="135" customWidth="1"/>
    <col min="10750" max="10750" width="12.7109375" style="135" customWidth="1"/>
    <col min="10751" max="10751" width="9.28515625" style="135" customWidth="1"/>
    <col min="10752" max="10752" width="13.7109375" style="135" customWidth="1"/>
    <col min="10753" max="10753" width="10.28515625" style="135" customWidth="1"/>
    <col min="10754" max="10754" width="14.140625" style="135" customWidth="1"/>
    <col min="10755" max="11004" width="10.42578125" style="135"/>
    <col min="11005" max="11005" width="36.42578125" style="135" customWidth="1"/>
    <col min="11006" max="11006" width="12.7109375" style="135" customWidth="1"/>
    <col min="11007" max="11007" width="9.28515625" style="135" customWidth="1"/>
    <col min="11008" max="11008" width="13.7109375" style="135" customWidth="1"/>
    <col min="11009" max="11009" width="10.28515625" style="135" customWidth="1"/>
    <col min="11010" max="11010" width="14.140625" style="135" customWidth="1"/>
    <col min="11011" max="11260" width="10.42578125" style="135"/>
    <col min="11261" max="11261" width="36.42578125" style="135" customWidth="1"/>
    <col min="11262" max="11262" width="12.7109375" style="135" customWidth="1"/>
    <col min="11263" max="11263" width="9.28515625" style="135" customWidth="1"/>
    <col min="11264" max="11264" width="13.7109375" style="135" customWidth="1"/>
    <col min="11265" max="11265" width="10.28515625" style="135" customWidth="1"/>
    <col min="11266" max="11266" width="14.140625" style="135" customWidth="1"/>
    <col min="11267" max="11516" width="10.42578125" style="135"/>
    <col min="11517" max="11517" width="36.42578125" style="135" customWidth="1"/>
    <col min="11518" max="11518" width="12.7109375" style="135" customWidth="1"/>
    <col min="11519" max="11519" width="9.28515625" style="135" customWidth="1"/>
    <col min="11520" max="11520" width="13.7109375" style="135" customWidth="1"/>
    <col min="11521" max="11521" width="10.28515625" style="135" customWidth="1"/>
    <col min="11522" max="11522" width="14.140625" style="135" customWidth="1"/>
    <col min="11523" max="11772" width="10.42578125" style="135"/>
    <col min="11773" max="11773" width="36.42578125" style="135" customWidth="1"/>
    <col min="11774" max="11774" width="12.7109375" style="135" customWidth="1"/>
    <col min="11775" max="11775" width="9.28515625" style="135" customWidth="1"/>
    <col min="11776" max="11776" width="13.7109375" style="135" customWidth="1"/>
    <col min="11777" max="11777" width="10.28515625" style="135" customWidth="1"/>
    <col min="11778" max="11778" width="14.140625" style="135" customWidth="1"/>
    <col min="11779" max="12028" width="10.42578125" style="135"/>
    <col min="12029" max="12029" width="36.42578125" style="135" customWidth="1"/>
    <col min="12030" max="12030" width="12.7109375" style="135" customWidth="1"/>
    <col min="12031" max="12031" width="9.28515625" style="135" customWidth="1"/>
    <col min="12032" max="12032" width="13.7109375" style="135" customWidth="1"/>
    <col min="12033" max="12033" width="10.28515625" style="135" customWidth="1"/>
    <col min="12034" max="12034" width="14.140625" style="135" customWidth="1"/>
    <col min="12035" max="12284" width="10.42578125" style="135"/>
    <col min="12285" max="12285" width="36.42578125" style="135" customWidth="1"/>
    <col min="12286" max="12286" width="12.7109375" style="135" customWidth="1"/>
    <col min="12287" max="12287" width="9.28515625" style="135" customWidth="1"/>
    <col min="12288" max="12288" width="13.7109375" style="135" customWidth="1"/>
    <col min="12289" max="12289" width="10.28515625" style="135" customWidth="1"/>
    <col min="12290" max="12290" width="14.140625" style="135" customWidth="1"/>
    <col min="12291" max="12540" width="10.42578125" style="135"/>
    <col min="12541" max="12541" width="36.42578125" style="135" customWidth="1"/>
    <col min="12542" max="12542" width="12.7109375" style="135" customWidth="1"/>
    <col min="12543" max="12543" width="9.28515625" style="135" customWidth="1"/>
    <col min="12544" max="12544" width="13.7109375" style="135" customWidth="1"/>
    <col min="12545" max="12545" width="10.28515625" style="135" customWidth="1"/>
    <col min="12546" max="12546" width="14.140625" style="135" customWidth="1"/>
    <col min="12547" max="12796" width="10.42578125" style="135"/>
    <col min="12797" max="12797" width="36.42578125" style="135" customWidth="1"/>
    <col min="12798" max="12798" width="12.7109375" style="135" customWidth="1"/>
    <col min="12799" max="12799" width="9.28515625" style="135" customWidth="1"/>
    <col min="12800" max="12800" width="13.7109375" style="135" customWidth="1"/>
    <col min="12801" max="12801" width="10.28515625" style="135" customWidth="1"/>
    <col min="12802" max="12802" width="14.140625" style="135" customWidth="1"/>
    <col min="12803" max="13052" width="10.42578125" style="135"/>
    <col min="13053" max="13053" width="36.42578125" style="135" customWidth="1"/>
    <col min="13054" max="13054" width="12.7109375" style="135" customWidth="1"/>
    <col min="13055" max="13055" width="9.28515625" style="135" customWidth="1"/>
    <col min="13056" max="13056" width="13.7109375" style="135" customWidth="1"/>
    <col min="13057" max="13057" width="10.28515625" style="135" customWidth="1"/>
    <col min="13058" max="13058" width="14.140625" style="135" customWidth="1"/>
    <col min="13059" max="13308" width="10.42578125" style="135"/>
    <col min="13309" max="13309" width="36.42578125" style="135" customWidth="1"/>
    <col min="13310" max="13310" width="12.7109375" style="135" customWidth="1"/>
    <col min="13311" max="13311" width="9.28515625" style="135" customWidth="1"/>
    <col min="13312" max="13312" width="13.7109375" style="135" customWidth="1"/>
    <col min="13313" max="13313" width="10.28515625" style="135" customWidth="1"/>
    <col min="13314" max="13314" width="14.140625" style="135" customWidth="1"/>
    <col min="13315" max="13564" width="10.42578125" style="135"/>
    <col min="13565" max="13565" width="36.42578125" style="135" customWidth="1"/>
    <col min="13566" max="13566" width="12.7109375" style="135" customWidth="1"/>
    <col min="13567" max="13567" width="9.28515625" style="135" customWidth="1"/>
    <col min="13568" max="13568" width="13.7109375" style="135" customWidth="1"/>
    <col min="13569" max="13569" width="10.28515625" style="135" customWidth="1"/>
    <col min="13570" max="13570" width="14.140625" style="135" customWidth="1"/>
    <col min="13571" max="13820" width="10.42578125" style="135"/>
    <col min="13821" max="13821" width="36.42578125" style="135" customWidth="1"/>
    <col min="13822" max="13822" width="12.7109375" style="135" customWidth="1"/>
    <col min="13823" max="13823" width="9.28515625" style="135" customWidth="1"/>
    <col min="13824" max="13824" width="13.7109375" style="135" customWidth="1"/>
    <col min="13825" max="13825" width="10.28515625" style="135" customWidth="1"/>
    <col min="13826" max="13826" width="14.140625" style="135" customWidth="1"/>
    <col min="13827" max="14076" width="10.42578125" style="135"/>
    <col min="14077" max="14077" width="36.42578125" style="135" customWidth="1"/>
    <col min="14078" max="14078" width="12.7109375" style="135" customWidth="1"/>
    <col min="14079" max="14079" width="9.28515625" style="135" customWidth="1"/>
    <col min="14080" max="14080" width="13.7109375" style="135" customWidth="1"/>
    <col min="14081" max="14081" width="10.28515625" style="135" customWidth="1"/>
    <col min="14082" max="14082" width="14.140625" style="135" customWidth="1"/>
    <col min="14083" max="14332" width="10.42578125" style="135"/>
    <col min="14333" max="14333" width="36.42578125" style="135" customWidth="1"/>
    <col min="14334" max="14334" width="12.7109375" style="135" customWidth="1"/>
    <col min="14335" max="14335" width="9.28515625" style="135" customWidth="1"/>
    <col min="14336" max="14336" width="13.7109375" style="135" customWidth="1"/>
    <col min="14337" max="14337" width="10.28515625" style="135" customWidth="1"/>
    <col min="14338" max="14338" width="14.140625" style="135" customWidth="1"/>
    <col min="14339" max="14588" width="10.42578125" style="135"/>
    <col min="14589" max="14589" width="36.42578125" style="135" customWidth="1"/>
    <col min="14590" max="14590" width="12.7109375" style="135" customWidth="1"/>
    <col min="14591" max="14591" width="9.28515625" style="135" customWidth="1"/>
    <col min="14592" max="14592" width="13.7109375" style="135" customWidth="1"/>
    <col min="14593" max="14593" width="10.28515625" style="135" customWidth="1"/>
    <col min="14594" max="14594" width="14.140625" style="135" customWidth="1"/>
    <col min="14595" max="14844" width="10.42578125" style="135"/>
    <col min="14845" max="14845" width="36.42578125" style="135" customWidth="1"/>
    <col min="14846" max="14846" width="12.7109375" style="135" customWidth="1"/>
    <col min="14847" max="14847" width="9.28515625" style="135" customWidth="1"/>
    <col min="14848" max="14848" width="13.7109375" style="135" customWidth="1"/>
    <col min="14849" max="14849" width="10.28515625" style="135" customWidth="1"/>
    <col min="14850" max="14850" width="14.140625" style="135" customWidth="1"/>
    <col min="14851" max="15100" width="10.42578125" style="135"/>
    <col min="15101" max="15101" width="36.42578125" style="135" customWidth="1"/>
    <col min="15102" max="15102" width="12.7109375" style="135" customWidth="1"/>
    <col min="15103" max="15103" width="9.28515625" style="135" customWidth="1"/>
    <col min="15104" max="15104" width="13.7109375" style="135" customWidth="1"/>
    <col min="15105" max="15105" width="10.28515625" style="135" customWidth="1"/>
    <col min="15106" max="15106" width="14.140625" style="135" customWidth="1"/>
    <col min="15107" max="15356" width="10.42578125" style="135"/>
    <col min="15357" max="15357" width="36.42578125" style="135" customWidth="1"/>
    <col min="15358" max="15358" width="12.7109375" style="135" customWidth="1"/>
    <col min="15359" max="15359" width="9.28515625" style="135" customWidth="1"/>
    <col min="15360" max="15360" width="13.7109375" style="135" customWidth="1"/>
    <col min="15361" max="15361" width="10.28515625" style="135" customWidth="1"/>
    <col min="15362" max="15362" width="14.140625" style="135" customWidth="1"/>
    <col min="15363" max="15612" width="10.42578125" style="135"/>
    <col min="15613" max="15613" width="36.42578125" style="135" customWidth="1"/>
    <col min="15614" max="15614" width="12.7109375" style="135" customWidth="1"/>
    <col min="15615" max="15615" width="9.28515625" style="135" customWidth="1"/>
    <col min="15616" max="15616" width="13.7109375" style="135" customWidth="1"/>
    <col min="15617" max="15617" width="10.28515625" style="135" customWidth="1"/>
    <col min="15618" max="15618" width="14.140625" style="135" customWidth="1"/>
    <col min="15619" max="15868" width="10.42578125" style="135"/>
    <col min="15869" max="15869" width="36.42578125" style="135" customWidth="1"/>
    <col min="15870" max="15870" width="12.7109375" style="135" customWidth="1"/>
    <col min="15871" max="15871" width="9.28515625" style="135" customWidth="1"/>
    <col min="15872" max="15872" width="13.7109375" style="135" customWidth="1"/>
    <col min="15873" max="15873" width="10.28515625" style="135" customWidth="1"/>
    <col min="15874" max="15874" width="14.140625" style="135" customWidth="1"/>
    <col min="15875" max="16124" width="10.42578125" style="135"/>
    <col min="16125" max="16125" width="36.42578125" style="135" customWidth="1"/>
    <col min="16126" max="16126" width="12.7109375" style="135" customWidth="1"/>
    <col min="16127" max="16127" width="9.28515625" style="135" customWidth="1"/>
    <col min="16128" max="16128" width="13.7109375" style="135" customWidth="1"/>
    <col min="16129" max="16129" width="10.28515625" style="135" customWidth="1"/>
    <col min="16130" max="16130" width="14.140625" style="135" customWidth="1"/>
    <col min="16131" max="16384" width="10.42578125" style="135"/>
  </cols>
  <sheetData>
    <row r="2" spans="1:18" s="252" customFormat="1" ht="30" customHeight="1">
      <c r="A2" s="493" t="s">
        <v>340</v>
      </c>
      <c r="B2" s="392"/>
      <c r="C2" s="392"/>
      <c r="D2" s="392"/>
      <c r="E2" s="392"/>
      <c r="F2" s="392"/>
      <c r="G2" s="392"/>
      <c r="H2" s="392"/>
      <c r="I2" s="392"/>
      <c r="J2" s="392"/>
      <c r="K2" s="392"/>
      <c r="L2" s="392"/>
      <c r="M2" s="392"/>
      <c r="N2" s="392"/>
      <c r="O2" s="392"/>
      <c r="P2" s="392"/>
      <c r="Q2" s="392"/>
    </row>
    <row r="3" spans="1:18" s="253" customFormat="1" ht="13.5" customHeight="1">
      <c r="A3" s="494" t="s">
        <v>263</v>
      </c>
      <c r="B3" s="494"/>
      <c r="C3" s="494"/>
      <c r="D3" s="495"/>
      <c r="E3" s="496"/>
      <c r="F3" s="496"/>
      <c r="G3" s="496"/>
      <c r="H3" s="496"/>
      <c r="I3" s="496"/>
      <c r="J3" s="496"/>
      <c r="K3" s="496"/>
      <c r="L3" s="496"/>
      <c r="M3" s="496"/>
      <c r="N3" s="496"/>
      <c r="O3" s="496"/>
      <c r="P3" s="496"/>
      <c r="Q3" s="496"/>
    </row>
    <row r="4" spans="1:18" ht="45" customHeight="1" thickBot="1">
      <c r="A4" s="254" t="s">
        <v>285</v>
      </c>
      <c r="B4" s="255" t="s">
        <v>57</v>
      </c>
      <c r="C4" s="255" t="s">
        <v>27</v>
      </c>
      <c r="D4" s="256" t="s">
        <v>28</v>
      </c>
      <c r="E4" s="256" t="s">
        <v>29</v>
      </c>
      <c r="F4" s="256" t="s">
        <v>30</v>
      </c>
      <c r="G4" s="255" t="s">
        <v>36</v>
      </c>
      <c r="H4" s="257" t="s">
        <v>37</v>
      </c>
      <c r="I4" s="258" t="s">
        <v>13</v>
      </c>
      <c r="J4" s="258" t="s">
        <v>14</v>
      </c>
      <c r="K4" s="258" t="s">
        <v>15</v>
      </c>
      <c r="L4" s="259" t="s">
        <v>16</v>
      </c>
      <c r="M4" s="259" t="s">
        <v>17</v>
      </c>
      <c r="N4" s="258" t="s">
        <v>18</v>
      </c>
      <c r="O4" s="258" t="s">
        <v>19</v>
      </c>
      <c r="P4" s="260" t="s">
        <v>20</v>
      </c>
      <c r="Q4" s="357" t="s">
        <v>31</v>
      </c>
      <c r="R4" s="271"/>
    </row>
    <row r="5" spans="1:18" ht="24.75" customHeight="1">
      <c r="A5" s="261"/>
      <c r="B5" s="491" t="s">
        <v>303</v>
      </c>
      <c r="C5" s="492"/>
      <c r="D5" s="492"/>
      <c r="E5" s="492"/>
      <c r="F5" s="492"/>
      <c r="G5" s="492"/>
      <c r="H5" s="492"/>
      <c r="I5" s="492"/>
      <c r="J5" s="492"/>
      <c r="K5" s="492"/>
      <c r="L5" s="492"/>
      <c r="M5" s="492"/>
      <c r="N5" s="492"/>
      <c r="O5" s="492"/>
      <c r="P5" s="492"/>
      <c r="Q5" s="492"/>
    </row>
    <row r="6" spans="1:18" s="262" customFormat="1" ht="21.75" customHeight="1">
      <c r="A6" s="3" t="s">
        <v>47</v>
      </c>
      <c r="B6" s="147">
        <v>6209427</v>
      </c>
      <c r="C6" s="147">
        <v>3954072.4</v>
      </c>
      <c r="D6" s="145">
        <v>2932125.8</v>
      </c>
      <c r="E6" s="145">
        <v>1113201.5</v>
      </c>
      <c r="F6" s="147">
        <v>3462171.5</v>
      </c>
      <c r="G6" s="147">
        <v>9209701</v>
      </c>
      <c r="H6" s="145">
        <v>21741286.800000001</v>
      </c>
      <c r="I6" s="145">
        <v>1693875.5</v>
      </c>
      <c r="J6" s="147">
        <v>3367780.3</v>
      </c>
      <c r="K6" s="147">
        <v>2404095.4</v>
      </c>
      <c r="L6" s="147">
        <v>5589826.5</v>
      </c>
      <c r="M6" s="147">
        <v>9902665.3000000007</v>
      </c>
      <c r="N6" s="147">
        <v>2049130.5</v>
      </c>
      <c r="O6" s="147">
        <v>1965348.8</v>
      </c>
      <c r="P6" s="147">
        <v>8427920</v>
      </c>
      <c r="Q6" s="147">
        <v>2596977.5</v>
      </c>
    </row>
    <row r="7" spans="1:18" s="264" customFormat="1" ht="12" customHeight="1">
      <c r="A7" s="263" t="s">
        <v>24</v>
      </c>
      <c r="B7" s="132"/>
      <c r="C7" s="132"/>
      <c r="D7" s="131"/>
      <c r="E7" s="380"/>
      <c r="F7" s="132"/>
      <c r="G7" s="132"/>
      <c r="H7" s="131"/>
      <c r="I7" s="131"/>
      <c r="J7" s="132"/>
      <c r="K7" s="132"/>
      <c r="L7" s="132"/>
      <c r="M7" s="132"/>
      <c r="N7" s="132"/>
      <c r="O7" s="132"/>
      <c r="P7" s="132"/>
      <c r="Q7" s="132"/>
    </row>
    <row r="8" spans="1:18" s="264" customFormat="1" ht="12" customHeight="1">
      <c r="A8" s="263"/>
      <c r="B8" s="132"/>
      <c r="C8" s="132"/>
      <c r="D8" s="131"/>
      <c r="E8" s="380"/>
      <c r="F8" s="132"/>
      <c r="G8" s="132"/>
      <c r="H8" s="131"/>
      <c r="I8" s="131"/>
      <c r="J8" s="132"/>
      <c r="K8" s="132"/>
      <c r="L8" s="132"/>
      <c r="M8" s="132"/>
      <c r="N8" s="132"/>
      <c r="O8" s="132"/>
      <c r="P8" s="132"/>
      <c r="Q8" s="132"/>
    </row>
    <row r="9" spans="1:18" s="264" customFormat="1" ht="25.5">
      <c r="A9" s="361" t="s">
        <v>174</v>
      </c>
      <c r="B9" s="132">
        <v>1627393</v>
      </c>
      <c r="C9" s="132">
        <v>1094522.2</v>
      </c>
      <c r="D9" s="131">
        <v>852379.7</v>
      </c>
      <c r="E9" s="131">
        <v>344089.2</v>
      </c>
      <c r="F9" s="132">
        <v>1110390.8</v>
      </c>
      <c r="G9" s="132">
        <v>3491442.8</v>
      </c>
      <c r="H9" s="131">
        <v>6016901.0999999996</v>
      </c>
      <c r="I9" s="131">
        <v>744859.4</v>
      </c>
      <c r="J9" s="132">
        <v>1144149.7</v>
      </c>
      <c r="K9" s="132">
        <v>1017804.4</v>
      </c>
      <c r="L9" s="132">
        <v>1717126.6</v>
      </c>
      <c r="M9" s="132">
        <v>2738616.9</v>
      </c>
      <c r="N9" s="132">
        <v>638704.30000000005</v>
      </c>
      <c r="O9" s="132">
        <v>870076.7</v>
      </c>
      <c r="P9" s="132">
        <v>2830354.1</v>
      </c>
      <c r="Q9" s="132">
        <v>821524.9</v>
      </c>
    </row>
    <row r="10" spans="1:18" s="264" customFormat="1" ht="14.1" customHeight="1">
      <c r="A10" s="265" t="s">
        <v>25</v>
      </c>
      <c r="B10" s="132"/>
      <c r="C10" s="132"/>
      <c r="D10" s="131"/>
      <c r="E10" s="131"/>
      <c r="F10" s="132"/>
      <c r="G10" s="132"/>
      <c r="H10" s="131"/>
      <c r="I10" s="131"/>
      <c r="J10" s="132"/>
      <c r="K10" s="132"/>
      <c r="L10" s="132"/>
      <c r="M10" s="132"/>
      <c r="N10" s="132"/>
      <c r="O10" s="132"/>
      <c r="P10" s="132"/>
      <c r="Q10" s="132"/>
    </row>
    <row r="11" spans="1:18" s="264" customFormat="1" ht="25.5">
      <c r="A11" s="233" t="s">
        <v>175</v>
      </c>
      <c r="B11" s="132">
        <v>185144</v>
      </c>
      <c r="C11" s="132">
        <v>86059.5</v>
      </c>
      <c r="D11" s="131">
        <v>75413.399999999994</v>
      </c>
      <c r="E11" s="131">
        <v>34428.5</v>
      </c>
      <c r="F11" s="132">
        <v>194539.5</v>
      </c>
      <c r="G11" s="132">
        <v>298750.2</v>
      </c>
      <c r="H11" s="131">
        <v>699742.6</v>
      </c>
      <c r="I11" s="131">
        <v>65091.3</v>
      </c>
      <c r="J11" s="132">
        <v>69958.2</v>
      </c>
      <c r="K11" s="132">
        <v>66970.5</v>
      </c>
      <c r="L11" s="132">
        <v>181939.6</v>
      </c>
      <c r="M11" s="132">
        <v>350917.2</v>
      </c>
      <c r="N11" s="132">
        <v>50102.8</v>
      </c>
      <c r="O11" s="132">
        <v>99092.1</v>
      </c>
      <c r="P11" s="132">
        <v>289341</v>
      </c>
      <c r="Q11" s="132">
        <v>114622</v>
      </c>
    </row>
    <row r="12" spans="1:18" s="262" customFormat="1" ht="14.1" customHeight="1">
      <c r="A12" s="234" t="s">
        <v>48</v>
      </c>
      <c r="B12" s="132"/>
      <c r="C12" s="132"/>
      <c r="D12" s="131"/>
      <c r="E12" s="131"/>
      <c r="F12" s="132"/>
      <c r="G12" s="132"/>
      <c r="H12" s="131"/>
      <c r="I12" s="131"/>
      <c r="J12" s="132"/>
      <c r="K12" s="132"/>
      <c r="L12" s="132"/>
      <c r="M12" s="132"/>
      <c r="N12" s="132"/>
      <c r="O12" s="132"/>
      <c r="P12" s="132"/>
      <c r="Q12" s="132"/>
    </row>
    <row r="13" spans="1:18" s="264" customFormat="1" ht="25.5">
      <c r="A13" s="233" t="s">
        <v>176</v>
      </c>
      <c r="B13" s="132">
        <v>1442249</v>
      </c>
      <c r="C13" s="132">
        <v>1008462.7</v>
      </c>
      <c r="D13" s="131">
        <v>776966.3</v>
      </c>
      <c r="E13" s="131">
        <v>309660.7</v>
      </c>
      <c r="F13" s="132">
        <v>915851.3</v>
      </c>
      <c r="G13" s="132">
        <v>3192692.6</v>
      </c>
      <c r="H13" s="131">
        <v>5317158.5</v>
      </c>
      <c r="I13" s="131">
        <v>679768.1</v>
      </c>
      <c r="J13" s="132">
        <v>1074191.5</v>
      </c>
      <c r="K13" s="132">
        <v>950833.9</v>
      </c>
      <c r="L13" s="132">
        <v>1535187</v>
      </c>
      <c r="M13" s="132">
        <v>2387699.7000000002</v>
      </c>
      <c r="N13" s="132">
        <v>588601.5</v>
      </c>
      <c r="O13" s="132">
        <v>770984.6</v>
      </c>
      <c r="P13" s="132">
        <v>2541013.1</v>
      </c>
      <c r="Q13" s="132">
        <v>706902.9</v>
      </c>
    </row>
    <row r="14" spans="1:18" s="264" customFormat="1">
      <c r="A14" s="234" t="s">
        <v>188</v>
      </c>
      <c r="B14" s="132"/>
      <c r="C14" s="132"/>
      <c r="D14" s="131"/>
      <c r="E14" s="131"/>
      <c r="F14" s="132"/>
      <c r="G14" s="132"/>
      <c r="H14" s="131"/>
      <c r="I14" s="131"/>
      <c r="J14" s="132"/>
      <c r="K14" s="132"/>
      <c r="L14" s="132"/>
      <c r="M14" s="132"/>
      <c r="N14" s="132"/>
      <c r="O14" s="132"/>
      <c r="P14" s="132"/>
      <c r="Q14" s="132"/>
    </row>
    <row r="15" spans="1:18" s="264" customFormat="1">
      <c r="A15" s="234"/>
      <c r="B15" s="132"/>
      <c r="C15" s="132"/>
      <c r="D15" s="131"/>
      <c r="E15" s="131"/>
      <c r="F15" s="132"/>
      <c r="G15" s="132"/>
      <c r="H15" s="131"/>
      <c r="I15" s="131"/>
      <c r="J15" s="132"/>
      <c r="K15" s="132"/>
      <c r="L15" s="132"/>
      <c r="M15" s="132"/>
      <c r="N15" s="132"/>
      <c r="O15" s="132"/>
      <c r="P15" s="132"/>
      <c r="Q15" s="132"/>
    </row>
    <row r="16" spans="1:18" s="264" customFormat="1" ht="25.5">
      <c r="A16" s="361" t="s">
        <v>177</v>
      </c>
      <c r="B16" s="132">
        <v>2695394.2</v>
      </c>
      <c r="C16" s="132">
        <v>1562909.2</v>
      </c>
      <c r="D16" s="131">
        <v>1133492.8</v>
      </c>
      <c r="E16" s="131">
        <v>437747.4</v>
      </c>
      <c r="F16" s="132">
        <v>1293487.8999999999</v>
      </c>
      <c r="G16" s="132">
        <v>3109196.5</v>
      </c>
      <c r="H16" s="131">
        <v>10445047.4</v>
      </c>
      <c r="I16" s="131">
        <v>392309</v>
      </c>
      <c r="J16" s="132">
        <v>1011381.5</v>
      </c>
      <c r="K16" s="132">
        <v>604454.6</v>
      </c>
      <c r="L16" s="132">
        <v>2131456.7999999998</v>
      </c>
      <c r="M16" s="132">
        <v>3803887.6</v>
      </c>
      <c r="N16" s="132">
        <v>743565.4</v>
      </c>
      <c r="O16" s="132">
        <v>565539.9</v>
      </c>
      <c r="P16" s="132">
        <v>3445888.9</v>
      </c>
      <c r="Q16" s="132">
        <v>1181311.5</v>
      </c>
    </row>
    <row r="17" spans="1:17" s="264" customFormat="1">
      <c r="A17" s="238" t="s">
        <v>26</v>
      </c>
      <c r="B17" s="132"/>
      <c r="C17" s="132"/>
      <c r="D17" s="131"/>
      <c r="E17" s="131"/>
      <c r="F17" s="132"/>
      <c r="G17" s="132"/>
      <c r="H17" s="131"/>
      <c r="I17" s="131"/>
      <c r="J17" s="132"/>
      <c r="K17" s="132"/>
      <c r="L17" s="132"/>
      <c r="M17" s="132"/>
      <c r="N17" s="132"/>
      <c r="O17" s="132"/>
      <c r="P17" s="132"/>
      <c r="Q17" s="132"/>
    </row>
    <row r="18" spans="1:17" s="264" customFormat="1" ht="14.1" customHeight="1">
      <c r="A18" s="244" t="s">
        <v>178</v>
      </c>
      <c r="B18" s="132">
        <v>2136956.9</v>
      </c>
      <c r="C18" s="132">
        <v>1063166.6000000001</v>
      </c>
      <c r="D18" s="131">
        <v>672884.7</v>
      </c>
      <c r="E18" s="131" t="s">
        <v>145</v>
      </c>
      <c r="F18" s="132">
        <v>814425.9</v>
      </c>
      <c r="G18" s="132">
        <v>2257962.2000000002</v>
      </c>
      <c r="H18" s="131">
        <v>8804842.6999999993</v>
      </c>
      <c r="I18" s="131">
        <v>248298.6</v>
      </c>
      <c r="J18" s="132">
        <v>596423.1</v>
      </c>
      <c r="K18" s="132">
        <v>398450.7</v>
      </c>
      <c r="L18" s="132">
        <v>977819.2</v>
      </c>
      <c r="M18" s="132">
        <v>2046777.7</v>
      </c>
      <c r="N18" s="132">
        <v>502401.9</v>
      </c>
      <c r="O18" s="132">
        <v>215328.8</v>
      </c>
      <c r="P18" s="132">
        <v>2154933</v>
      </c>
      <c r="Q18" s="132" t="s">
        <v>145</v>
      </c>
    </row>
    <row r="19" spans="1:17" s="264" customFormat="1">
      <c r="A19" s="245" t="s">
        <v>49</v>
      </c>
      <c r="B19" s="132"/>
      <c r="C19" s="132"/>
      <c r="D19" s="131"/>
      <c r="E19" s="131"/>
      <c r="F19" s="132"/>
      <c r="G19" s="132"/>
      <c r="H19" s="131"/>
      <c r="I19" s="131"/>
      <c r="J19" s="132"/>
      <c r="K19" s="132"/>
      <c r="L19" s="132"/>
      <c r="M19" s="132"/>
      <c r="N19" s="132"/>
      <c r="O19" s="132"/>
      <c r="P19" s="132"/>
      <c r="Q19" s="132"/>
    </row>
    <row r="20" spans="1:17" s="264" customFormat="1" ht="24" customHeight="1">
      <c r="A20" s="248" t="s">
        <v>179</v>
      </c>
      <c r="B20" s="132">
        <v>356983.8</v>
      </c>
      <c r="C20" s="132">
        <v>456366.7</v>
      </c>
      <c r="D20" s="131">
        <v>291792.2</v>
      </c>
      <c r="E20" s="131">
        <v>165689.5</v>
      </c>
      <c r="F20" s="132">
        <v>427124.8</v>
      </c>
      <c r="G20" s="132">
        <v>690587.3</v>
      </c>
      <c r="H20" s="131">
        <v>1168250.8999999999</v>
      </c>
      <c r="I20" s="131">
        <v>69441</v>
      </c>
      <c r="J20" s="132">
        <v>359619</v>
      </c>
      <c r="K20" s="132">
        <v>195595.4</v>
      </c>
      <c r="L20" s="132">
        <v>891510.4</v>
      </c>
      <c r="M20" s="132">
        <v>833031</v>
      </c>
      <c r="N20" s="132">
        <v>181794.2</v>
      </c>
      <c r="O20" s="132">
        <v>325788.7</v>
      </c>
      <c r="P20" s="132">
        <v>855926.3</v>
      </c>
      <c r="Q20" s="132">
        <v>286118.8</v>
      </c>
    </row>
    <row r="21" spans="1:17" s="264" customFormat="1" ht="15" customHeight="1">
      <c r="A21" s="249" t="s">
        <v>50</v>
      </c>
      <c r="B21" s="132"/>
      <c r="C21" s="132"/>
      <c r="D21" s="131"/>
      <c r="E21" s="131"/>
      <c r="F21" s="132"/>
      <c r="G21" s="132"/>
      <c r="H21" s="131"/>
      <c r="I21" s="131"/>
      <c r="J21" s="132"/>
      <c r="K21" s="132"/>
      <c r="L21" s="132"/>
      <c r="M21" s="132"/>
      <c r="N21" s="132"/>
      <c r="O21" s="132"/>
      <c r="P21" s="132"/>
      <c r="Q21" s="132"/>
    </row>
    <row r="22" spans="1:17" s="266" customFormat="1" ht="25.5">
      <c r="A22" s="248" t="s">
        <v>180</v>
      </c>
      <c r="B22" s="132">
        <v>201453.5</v>
      </c>
      <c r="C22" s="132">
        <v>43375.9</v>
      </c>
      <c r="D22" s="131">
        <v>168815.9</v>
      </c>
      <c r="E22" s="131" t="s">
        <v>145</v>
      </c>
      <c r="F22" s="132">
        <v>51937.2</v>
      </c>
      <c r="G22" s="132">
        <v>160647</v>
      </c>
      <c r="H22" s="131">
        <v>471953.8</v>
      </c>
      <c r="I22" s="131">
        <v>74569.399999999994</v>
      </c>
      <c r="J22" s="132">
        <v>55339.4</v>
      </c>
      <c r="K22" s="132">
        <v>10408.5</v>
      </c>
      <c r="L22" s="132">
        <v>262127.2</v>
      </c>
      <c r="M22" s="132">
        <v>924078.9</v>
      </c>
      <c r="N22" s="132">
        <v>59369.3</v>
      </c>
      <c r="O22" s="132">
        <v>24422.400000000001</v>
      </c>
      <c r="P22" s="132">
        <v>435029.6</v>
      </c>
      <c r="Q22" s="132" t="s">
        <v>145</v>
      </c>
    </row>
    <row r="23" spans="1:17" s="266" customFormat="1">
      <c r="A23" s="249" t="s">
        <v>181</v>
      </c>
      <c r="B23" s="132"/>
      <c r="C23" s="132"/>
      <c r="D23" s="131"/>
      <c r="E23" s="131"/>
      <c r="F23" s="132"/>
      <c r="G23" s="132"/>
      <c r="H23" s="131"/>
      <c r="I23" s="131"/>
      <c r="J23" s="132"/>
      <c r="K23" s="132"/>
      <c r="L23" s="132"/>
      <c r="M23" s="132"/>
      <c r="N23" s="132"/>
      <c r="O23" s="132"/>
      <c r="P23" s="132"/>
      <c r="Q23" s="132"/>
    </row>
    <row r="24" spans="1:17" s="266" customFormat="1">
      <c r="A24" s="249"/>
      <c r="B24" s="132"/>
      <c r="C24" s="132"/>
      <c r="D24" s="131"/>
      <c r="E24" s="131"/>
      <c r="F24" s="132"/>
      <c r="G24" s="132"/>
      <c r="H24" s="131"/>
      <c r="I24" s="131"/>
      <c r="J24" s="132"/>
      <c r="K24" s="132"/>
      <c r="L24" s="132"/>
      <c r="M24" s="132"/>
      <c r="N24" s="132"/>
      <c r="O24" s="132"/>
      <c r="P24" s="132"/>
      <c r="Q24" s="132"/>
    </row>
    <row r="25" spans="1:17" s="266" customFormat="1">
      <c r="A25" s="250" t="s">
        <v>7</v>
      </c>
      <c r="B25" s="132">
        <v>1886639.8</v>
      </c>
      <c r="C25" s="132">
        <v>1296641</v>
      </c>
      <c r="D25" s="131">
        <v>946253.3</v>
      </c>
      <c r="E25" s="131">
        <v>331364.90000000002</v>
      </c>
      <c r="F25" s="132">
        <v>1058292.8</v>
      </c>
      <c r="G25" s="132">
        <v>2609061.7000000002</v>
      </c>
      <c r="H25" s="131">
        <v>5279338.3</v>
      </c>
      <c r="I25" s="131">
        <v>556707.1</v>
      </c>
      <c r="J25" s="132">
        <v>1212249.1000000001</v>
      </c>
      <c r="K25" s="132">
        <v>781836.4</v>
      </c>
      <c r="L25" s="132">
        <v>1741243.1</v>
      </c>
      <c r="M25" s="132">
        <v>3360160.8</v>
      </c>
      <c r="N25" s="132">
        <v>666860.80000000005</v>
      </c>
      <c r="O25" s="132">
        <v>529732.19999999995</v>
      </c>
      <c r="P25" s="132">
        <v>2151677</v>
      </c>
      <c r="Q25" s="132">
        <v>594141.1</v>
      </c>
    </row>
    <row r="26" spans="1:17" s="266" customFormat="1">
      <c r="A26" s="251" t="s">
        <v>51</v>
      </c>
      <c r="B26" s="132"/>
      <c r="C26" s="132"/>
      <c r="D26" s="131"/>
      <c r="E26" s="131"/>
      <c r="F26" s="132"/>
      <c r="G26" s="132"/>
      <c r="H26" s="131"/>
      <c r="I26" s="131"/>
      <c r="J26" s="132"/>
      <c r="K26" s="132"/>
      <c r="L26" s="132"/>
      <c r="M26" s="132"/>
      <c r="N26" s="132"/>
      <c r="O26" s="132"/>
      <c r="P26" s="132"/>
      <c r="Q26" s="132"/>
    </row>
    <row r="27" spans="1:17" s="266" customFormat="1">
      <c r="A27" s="244" t="s">
        <v>182</v>
      </c>
      <c r="B27" s="132">
        <v>75440.899999999994</v>
      </c>
      <c r="C27" s="132">
        <v>42713.8</v>
      </c>
      <c r="D27" s="131">
        <v>141414.70000000001</v>
      </c>
      <c r="E27" s="131">
        <v>29057.8</v>
      </c>
      <c r="F27" s="132">
        <v>42526.7</v>
      </c>
      <c r="G27" s="132">
        <v>209354.6</v>
      </c>
      <c r="H27" s="131">
        <v>664914.4</v>
      </c>
      <c r="I27" s="131">
        <v>20592.099999999999</v>
      </c>
      <c r="J27" s="131">
        <v>44709.5</v>
      </c>
      <c r="K27" s="150">
        <v>39192.9</v>
      </c>
      <c r="L27" s="132">
        <v>231453.9</v>
      </c>
      <c r="M27" s="132">
        <v>132751.79999999999</v>
      </c>
      <c r="N27" s="132">
        <v>49914.6</v>
      </c>
      <c r="O27" s="132">
        <v>74735.5</v>
      </c>
      <c r="P27" s="132">
        <v>149075.1</v>
      </c>
      <c r="Q27" s="132">
        <v>91490.4</v>
      </c>
    </row>
    <row r="28" spans="1:17" s="266" customFormat="1">
      <c r="A28" s="245" t="s">
        <v>52</v>
      </c>
      <c r="B28" s="131"/>
      <c r="C28" s="150"/>
      <c r="D28" s="131"/>
      <c r="E28" s="131"/>
      <c r="F28" s="131"/>
      <c r="G28" s="150"/>
      <c r="H28" s="131"/>
      <c r="I28" s="131"/>
      <c r="J28" s="161"/>
      <c r="K28" s="131"/>
      <c r="L28" s="150"/>
      <c r="M28" s="131"/>
      <c r="N28" s="131"/>
      <c r="O28" s="131"/>
      <c r="P28" s="131"/>
      <c r="Q28" s="150"/>
    </row>
    <row r="29" spans="1:17" s="266" customFormat="1" ht="25.5">
      <c r="A29" s="248" t="s">
        <v>314</v>
      </c>
      <c r="B29" s="131">
        <v>970050</v>
      </c>
      <c r="C29" s="150">
        <v>707739.5</v>
      </c>
      <c r="D29" s="131">
        <v>561771.6</v>
      </c>
      <c r="E29" s="131">
        <v>216506.9</v>
      </c>
      <c r="F29" s="131">
        <v>566251.19999999995</v>
      </c>
      <c r="G29" s="150">
        <v>1338239.1000000001</v>
      </c>
      <c r="H29" s="131">
        <v>2780601.4</v>
      </c>
      <c r="I29" s="131">
        <v>424671.5</v>
      </c>
      <c r="J29" s="161">
        <v>802836</v>
      </c>
      <c r="K29" s="131">
        <v>653198.1</v>
      </c>
      <c r="L29" s="150">
        <v>982700.7</v>
      </c>
      <c r="M29" s="131">
        <v>1917005.5</v>
      </c>
      <c r="N29" s="131">
        <v>283760.5</v>
      </c>
      <c r="O29" s="131">
        <v>226581.3</v>
      </c>
      <c r="P29" s="131">
        <v>1143833.5</v>
      </c>
      <c r="Q29" s="150">
        <v>339413.1</v>
      </c>
    </row>
    <row r="30" spans="1:17" ht="25.5">
      <c r="A30" s="362" t="s">
        <v>184</v>
      </c>
      <c r="B30" s="267"/>
      <c r="D30" s="268"/>
      <c r="E30" s="269"/>
      <c r="F30" s="269"/>
      <c r="H30" s="269"/>
      <c r="I30" s="269"/>
      <c r="J30" s="270"/>
      <c r="K30" s="269"/>
      <c r="M30" s="269"/>
      <c r="N30" s="269"/>
      <c r="O30" s="269"/>
      <c r="P30" s="269"/>
    </row>
    <row r="31" spans="1:17">
      <c r="A31" s="244" t="s">
        <v>185</v>
      </c>
      <c r="B31" s="131">
        <v>122474.2</v>
      </c>
      <c r="C31" s="150">
        <v>118654.5</v>
      </c>
      <c r="D31" s="131">
        <v>140017.4</v>
      </c>
      <c r="E31" s="131">
        <v>29247</v>
      </c>
      <c r="F31" s="131">
        <v>104807.5</v>
      </c>
      <c r="G31" s="150">
        <v>407118.9</v>
      </c>
      <c r="H31" s="131">
        <v>402485.9</v>
      </c>
      <c r="I31" s="131">
        <v>43853.9</v>
      </c>
      <c r="J31" s="161">
        <v>94534.8</v>
      </c>
      <c r="K31" s="131">
        <v>68969.399999999994</v>
      </c>
      <c r="L31" s="150">
        <v>255503.6</v>
      </c>
      <c r="M31" s="131">
        <v>269078.90000000002</v>
      </c>
      <c r="N31" s="131">
        <v>115517.6</v>
      </c>
      <c r="O31" s="131">
        <v>66213.100000000006</v>
      </c>
      <c r="P31" s="131">
        <v>244894.6</v>
      </c>
      <c r="Q31" s="150">
        <v>35136.9</v>
      </c>
    </row>
    <row r="32" spans="1:17">
      <c r="A32" s="249" t="s">
        <v>53</v>
      </c>
      <c r="B32" s="131"/>
      <c r="C32" s="150"/>
      <c r="D32" s="131"/>
      <c r="E32" s="131"/>
      <c r="F32" s="131"/>
      <c r="G32" s="150"/>
      <c r="H32" s="131"/>
      <c r="I32" s="131"/>
      <c r="J32" s="161"/>
      <c r="K32" s="131"/>
      <c r="L32" s="150"/>
      <c r="M32" s="131"/>
      <c r="N32" s="131"/>
      <c r="O32" s="131"/>
      <c r="P32" s="131"/>
      <c r="Q32" s="150"/>
    </row>
    <row r="33" spans="1:17">
      <c r="A33" s="244" t="s">
        <v>186</v>
      </c>
      <c r="B33" s="131">
        <v>718674.7</v>
      </c>
      <c r="C33" s="150">
        <v>427533.2</v>
      </c>
      <c r="D33" s="131">
        <v>103049.60000000001</v>
      </c>
      <c r="E33" s="131">
        <v>56553.2</v>
      </c>
      <c r="F33" s="131">
        <v>344707.4</v>
      </c>
      <c r="G33" s="150">
        <v>654349.1</v>
      </c>
      <c r="H33" s="131">
        <v>1431336.6</v>
      </c>
      <c r="I33" s="131">
        <v>67589.600000000006</v>
      </c>
      <c r="J33" s="161">
        <v>270168.8</v>
      </c>
      <c r="K33" s="131">
        <v>20476</v>
      </c>
      <c r="L33" s="150">
        <v>271584.90000000002</v>
      </c>
      <c r="M33" s="131">
        <v>1041324.6</v>
      </c>
      <c r="N33" s="131">
        <v>217668.1</v>
      </c>
      <c r="O33" s="131">
        <v>162202.29999999999</v>
      </c>
      <c r="P33" s="131">
        <v>613873.80000000005</v>
      </c>
      <c r="Q33" s="150">
        <v>128100.7</v>
      </c>
    </row>
    <row r="34" spans="1:17">
      <c r="A34" s="249" t="s">
        <v>187</v>
      </c>
      <c r="B34" s="131"/>
      <c r="C34" s="150"/>
      <c r="D34" s="131"/>
      <c r="E34" s="131"/>
      <c r="F34" s="132"/>
      <c r="G34" s="132"/>
      <c r="H34" s="131"/>
      <c r="I34" s="131"/>
      <c r="J34" s="161"/>
      <c r="K34" s="131"/>
      <c r="L34" s="150"/>
      <c r="M34" s="131"/>
      <c r="N34" s="131"/>
      <c r="O34" s="131"/>
      <c r="P34" s="131"/>
      <c r="Q34" s="150"/>
    </row>
    <row r="35" spans="1:17" ht="30" customHeight="1">
      <c r="B35" s="473" t="s">
        <v>307</v>
      </c>
      <c r="C35" s="490"/>
      <c r="D35" s="490"/>
      <c r="E35" s="490"/>
      <c r="F35" s="490"/>
      <c r="G35" s="490"/>
      <c r="H35" s="490"/>
      <c r="I35" s="490"/>
      <c r="J35" s="490"/>
      <c r="K35" s="490"/>
      <c r="L35" s="490"/>
      <c r="M35" s="490"/>
      <c r="N35" s="490"/>
      <c r="O35" s="490"/>
      <c r="P35" s="490"/>
      <c r="Q35" s="490"/>
    </row>
    <row r="36" spans="1:17">
      <c r="A36" s="3" t="s">
        <v>47</v>
      </c>
      <c r="B36" s="145">
        <v>4396401.4000000004</v>
      </c>
      <c r="C36" s="145">
        <v>2836263.1</v>
      </c>
      <c r="D36" s="145">
        <v>2327071.6</v>
      </c>
      <c r="E36" s="147">
        <v>661268.4</v>
      </c>
      <c r="F36" s="145">
        <v>2372349.2999999998</v>
      </c>
      <c r="G36" s="145">
        <v>6886758.2999999998</v>
      </c>
      <c r="H36" s="145">
        <v>18723531.800000001</v>
      </c>
      <c r="I36" s="145">
        <v>1107093.5</v>
      </c>
      <c r="J36" s="145">
        <v>2657295.1</v>
      </c>
      <c r="K36" s="145">
        <v>1987371.2</v>
      </c>
      <c r="L36" s="145">
        <v>4212052</v>
      </c>
      <c r="M36" s="145">
        <v>6098214.5999999996</v>
      </c>
      <c r="N36" s="145">
        <v>1741353.9</v>
      </c>
      <c r="O36" s="145">
        <v>1435105.9</v>
      </c>
      <c r="P36" s="145">
        <v>6465380</v>
      </c>
      <c r="Q36" s="145">
        <v>2227097</v>
      </c>
    </row>
    <row r="37" spans="1:17">
      <c r="A37" s="263" t="s">
        <v>24</v>
      </c>
      <c r="B37" s="131"/>
      <c r="C37" s="131"/>
      <c r="D37" s="131"/>
      <c r="E37" s="124"/>
      <c r="F37" s="131"/>
      <c r="G37" s="131"/>
      <c r="H37" s="131"/>
      <c r="I37" s="131"/>
      <c r="J37" s="131"/>
      <c r="K37" s="131"/>
      <c r="L37" s="131"/>
      <c r="M37" s="131"/>
      <c r="N37" s="131"/>
      <c r="O37" s="131"/>
      <c r="P37" s="131"/>
      <c r="Q37" s="131"/>
    </row>
    <row r="38" spans="1:17">
      <c r="A38" s="272"/>
      <c r="B38" s="131"/>
      <c r="C38" s="131"/>
      <c r="D38" s="131"/>
      <c r="E38" s="132"/>
      <c r="F38" s="131"/>
      <c r="G38" s="131"/>
      <c r="H38" s="131"/>
      <c r="I38" s="131"/>
      <c r="J38" s="131"/>
      <c r="K38" s="131"/>
      <c r="L38" s="131"/>
      <c r="M38" s="131"/>
      <c r="N38" s="131"/>
      <c r="O38" s="131"/>
      <c r="P38" s="131"/>
      <c r="Q38" s="131"/>
    </row>
    <row r="39" spans="1:17" ht="25.5">
      <c r="A39" s="361" t="s">
        <v>174</v>
      </c>
      <c r="B39" s="131">
        <v>970598.9</v>
      </c>
      <c r="C39" s="131">
        <v>727010.5</v>
      </c>
      <c r="D39" s="131">
        <v>723155.9</v>
      </c>
      <c r="E39" s="131">
        <v>234868.9</v>
      </c>
      <c r="F39" s="131">
        <v>917022.6</v>
      </c>
      <c r="G39" s="131">
        <v>2720907.9</v>
      </c>
      <c r="H39" s="131">
        <v>5586836.7000000002</v>
      </c>
      <c r="I39" s="131">
        <v>508935.5</v>
      </c>
      <c r="J39" s="131">
        <v>971365.9</v>
      </c>
      <c r="K39" s="131">
        <v>927264.5</v>
      </c>
      <c r="L39" s="131">
        <v>1309066.7</v>
      </c>
      <c r="M39" s="131">
        <v>1751235.3</v>
      </c>
      <c r="N39" s="131">
        <v>561751.5</v>
      </c>
      <c r="O39" s="131">
        <v>664564.9</v>
      </c>
      <c r="P39" s="131">
        <v>2490090.9</v>
      </c>
      <c r="Q39" s="131">
        <v>737096.7</v>
      </c>
    </row>
    <row r="40" spans="1:17">
      <c r="A40" s="265" t="s">
        <v>25</v>
      </c>
      <c r="B40" s="131"/>
      <c r="C40" s="131"/>
      <c r="D40" s="131"/>
      <c r="E40" s="131"/>
      <c r="F40" s="131"/>
      <c r="G40" s="131"/>
      <c r="H40" s="131"/>
      <c r="I40" s="131"/>
      <c r="J40" s="131"/>
      <c r="K40" s="131"/>
      <c r="L40" s="131"/>
      <c r="M40" s="131"/>
      <c r="N40" s="131"/>
      <c r="O40" s="131"/>
      <c r="P40" s="131"/>
      <c r="Q40" s="131"/>
    </row>
    <row r="41" spans="1:17" ht="25.5">
      <c r="A41" s="233" t="s">
        <v>175</v>
      </c>
      <c r="B41" s="131">
        <v>122850.6</v>
      </c>
      <c r="C41" s="131">
        <v>25277.3</v>
      </c>
      <c r="D41" s="131" t="s">
        <v>145</v>
      </c>
      <c r="E41" s="131">
        <v>28717.8</v>
      </c>
      <c r="F41" s="131">
        <v>173715.4</v>
      </c>
      <c r="G41" s="131">
        <v>242671.5</v>
      </c>
      <c r="H41" s="131">
        <v>573541</v>
      </c>
      <c r="I41" s="131">
        <v>44557.7</v>
      </c>
      <c r="J41" s="131" t="s">
        <v>145</v>
      </c>
      <c r="K41" s="131" t="s">
        <v>145</v>
      </c>
      <c r="L41" s="131">
        <v>133742.5</v>
      </c>
      <c r="M41" s="131">
        <v>207085.2</v>
      </c>
      <c r="N41" s="131">
        <v>40403</v>
      </c>
      <c r="O41" s="131">
        <v>82965.7</v>
      </c>
      <c r="P41" s="131">
        <v>239719.8</v>
      </c>
      <c r="Q41" s="131">
        <v>98496.7</v>
      </c>
    </row>
    <row r="42" spans="1:17">
      <c r="A42" s="234" t="s">
        <v>48</v>
      </c>
      <c r="B42" s="131"/>
      <c r="C42" s="131"/>
      <c r="D42" s="131"/>
      <c r="E42" s="131"/>
      <c r="F42" s="131"/>
      <c r="G42" s="131"/>
      <c r="H42" s="131"/>
      <c r="I42" s="131"/>
      <c r="J42" s="131"/>
      <c r="K42" s="131"/>
      <c r="L42" s="131"/>
      <c r="M42" s="131"/>
      <c r="N42" s="131"/>
      <c r="O42" s="131"/>
      <c r="P42" s="131"/>
      <c r="Q42" s="131"/>
    </row>
    <row r="43" spans="1:17" ht="25.5">
      <c r="A43" s="233" t="s">
        <v>176</v>
      </c>
      <c r="B43" s="131">
        <v>847748.3</v>
      </c>
      <c r="C43" s="131">
        <v>701733.2</v>
      </c>
      <c r="D43" s="131" t="s">
        <v>145</v>
      </c>
      <c r="E43" s="131">
        <v>206151.1</v>
      </c>
      <c r="F43" s="131">
        <v>743307.2</v>
      </c>
      <c r="G43" s="131">
        <v>2478236.4</v>
      </c>
      <c r="H43" s="131">
        <v>5013295.7</v>
      </c>
      <c r="I43" s="131">
        <v>464377.8</v>
      </c>
      <c r="J43" s="131" t="s">
        <v>145</v>
      </c>
      <c r="K43" s="131" t="s">
        <v>145</v>
      </c>
      <c r="L43" s="131">
        <v>1175324.2</v>
      </c>
      <c r="M43" s="131">
        <v>1544150.1</v>
      </c>
      <c r="N43" s="131">
        <v>521348.5</v>
      </c>
      <c r="O43" s="131">
        <v>581599.19999999995</v>
      </c>
      <c r="P43" s="131">
        <v>2250371.1</v>
      </c>
      <c r="Q43" s="131">
        <v>638600</v>
      </c>
    </row>
    <row r="44" spans="1:17">
      <c r="A44" s="234" t="s">
        <v>188</v>
      </c>
      <c r="B44" s="131"/>
      <c r="C44" s="131"/>
      <c r="D44" s="131"/>
      <c r="E44" s="131"/>
      <c r="F44" s="131"/>
      <c r="G44" s="131"/>
      <c r="H44" s="131"/>
      <c r="I44" s="131"/>
      <c r="J44" s="131"/>
      <c r="K44" s="131"/>
      <c r="L44" s="131"/>
      <c r="M44" s="131"/>
      <c r="N44" s="131"/>
      <c r="O44" s="131"/>
      <c r="P44" s="131"/>
      <c r="Q44" s="131"/>
    </row>
    <row r="45" spans="1:17">
      <c r="A45" s="234"/>
      <c r="B45" s="131"/>
      <c r="C45" s="131"/>
      <c r="D45" s="131"/>
      <c r="E45" s="131"/>
      <c r="F45" s="131"/>
      <c r="G45" s="131"/>
      <c r="H45" s="131"/>
      <c r="I45" s="131"/>
      <c r="J45" s="131"/>
      <c r="K45" s="131"/>
      <c r="L45" s="131"/>
      <c r="M45" s="131"/>
      <c r="N45" s="131"/>
      <c r="O45" s="131"/>
      <c r="P45" s="131"/>
      <c r="Q45" s="131"/>
    </row>
    <row r="46" spans="1:17" ht="25.5">
      <c r="A46" s="361" t="s">
        <v>177</v>
      </c>
      <c r="B46" s="131">
        <v>2006113.2</v>
      </c>
      <c r="C46" s="131">
        <v>1241359.8999999999</v>
      </c>
      <c r="D46" s="131">
        <v>769407.3</v>
      </c>
      <c r="E46" s="131">
        <v>241995.9</v>
      </c>
      <c r="F46" s="131">
        <v>951270.9</v>
      </c>
      <c r="G46" s="131">
        <v>2244413.6</v>
      </c>
      <c r="H46" s="131">
        <v>9037507.4000000004</v>
      </c>
      <c r="I46" s="131">
        <v>239509.9</v>
      </c>
      <c r="J46" s="131">
        <v>768937.5</v>
      </c>
      <c r="K46" s="131">
        <v>452036.7</v>
      </c>
      <c r="L46" s="131">
        <v>1641217.6</v>
      </c>
      <c r="M46" s="131">
        <v>2063192.1</v>
      </c>
      <c r="N46" s="131">
        <v>620017.5</v>
      </c>
      <c r="O46" s="131">
        <v>318992.8</v>
      </c>
      <c r="P46" s="131">
        <v>2523391.7000000002</v>
      </c>
      <c r="Q46" s="131">
        <v>1097192.1000000001</v>
      </c>
    </row>
    <row r="47" spans="1:17">
      <c r="A47" s="238" t="s">
        <v>26</v>
      </c>
      <c r="B47" s="131"/>
      <c r="C47" s="131"/>
      <c r="D47" s="131"/>
      <c r="E47" s="131"/>
      <c r="F47" s="131"/>
      <c r="G47" s="131"/>
      <c r="H47" s="131"/>
      <c r="I47" s="131"/>
      <c r="J47" s="131"/>
      <c r="K47" s="131"/>
      <c r="L47" s="131"/>
      <c r="M47" s="131"/>
      <c r="N47" s="131"/>
      <c r="O47" s="131"/>
      <c r="P47" s="131"/>
      <c r="Q47" s="131"/>
    </row>
    <row r="48" spans="1:17">
      <c r="A48" s="243"/>
      <c r="B48" s="131"/>
      <c r="C48" s="131"/>
      <c r="D48" s="131"/>
      <c r="E48" s="131"/>
      <c r="F48" s="131"/>
      <c r="G48" s="131"/>
      <c r="H48" s="131"/>
      <c r="I48" s="131"/>
      <c r="J48" s="131"/>
      <c r="K48" s="131"/>
      <c r="L48" s="131"/>
      <c r="M48" s="131"/>
      <c r="N48" s="131"/>
      <c r="O48" s="131"/>
      <c r="P48" s="131"/>
      <c r="Q48" s="131"/>
    </row>
    <row r="49" spans="1:17">
      <c r="A49" s="244" t="s">
        <v>178</v>
      </c>
      <c r="B49" s="131" t="s">
        <v>145</v>
      </c>
      <c r="C49" s="131">
        <v>857401.8</v>
      </c>
      <c r="D49" s="131">
        <v>381271.1</v>
      </c>
      <c r="E49" s="132" t="s">
        <v>145</v>
      </c>
      <c r="F49" s="131">
        <v>658100.69999999995</v>
      </c>
      <c r="G49" s="161">
        <v>1574883.5</v>
      </c>
      <c r="H49" s="131" t="s">
        <v>145</v>
      </c>
      <c r="I49" s="131" t="s">
        <v>145</v>
      </c>
      <c r="J49" s="131">
        <v>487685.8</v>
      </c>
      <c r="K49" s="132">
        <v>278496.7</v>
      </c>
      <c r="L49" s="131">
        <v>574390.5</v>
      </c>
      <c r="M49" s="150">
        <v>1139281.5</v>
      </c>
      <c r="N49" s="131" t="s">
        <v>145</v>
      </c>
      <c r="O49" s="150">
        <v>146728.79999999999</v>
      </c>
      <c r="P49" s="131">
        <v>1548688.8</v>
      </c>
      <c r="Q49" s="161" t="s">
        <v>145</v>
      </c>
    </row>
    <row r="50" spans="1:17">
      <c r="A50" s="245" t="s">
        <v>49</v>
      </c>
      <c r="B50" s="131"/>
      <c r="C50" s="132"/>
      <c r="D50" s="131"/>
      <c r="E50" s="150"/>
      <c r="F50" s="131"/>
      <c r="G50" s="161"/>
      <c r="H50" s="131"/>
      <c r="I50" s="131"/>
      <c r="J50" s="131"/>
      <c r="K50" s="150"/>
      <c r="L50" s="131"/>
      <c r="M50" s="150"/>
      <c r="N50" s="131"/>
      <c r="O50" s="150"/>
      <c r="P50" s="131"/>
      <c r="Q50" s="131"/>
    </row>
    <row r="51" spans="1:17" ht="25.5">
      <c r="A51" s="248" t="s">
        <v>315</v>
      </c>
      <c r="B51" s="131">
        <v>292901.40000000002</v>
      </c>
      <c r="C51" s="150" t="s">
        <v>145</v>
      </c>
      <c r="D51" s="131" t="s">
        <v>145</v>
      </c>
      <c r="E51" s="150" t="s">
        <v>145</v>
      </c>
      <c r="F51" s="131">
        <v>254103.4</v>
      </c>
      <c r="G51" s="150">
        <v>560845.80000000005</v>
      </c>
      <c r="H51" s="131">
        <v>887439.7</v>
      </c>
      <c r="I51" s="131">
        <v>50363.5</v>
      </c>
      <c r="J51" s="131">
        <v>245724.5</v>
      </c>
      <c r="K51" s="150" t="s">
        <v>145</v>
      </c>
      <c r="L51" s="131">
        <v>822436.9</v>
      </c>
      <c r="M51" s="150">
        <v>570165</v>
      </c>
      <c r="N51" s="131">
        <v>148666.79999999999</v>
      </c>
      <c r="O51" s="150" t="s">
        <v>145</v>
      </c>
      <c r="P51" s="131">
        <v>595457</v>
      </c>
      <c r="Q51" s="131" t="s">
        <v>145</v>
      </c>
    </row>
    <row r="52" spans="1:17">
      <c r="A52" s="249" t="s">
        <v>50</v>
      </c>
      <c r="B52" s="267"/>
      <c r="D52" s="268"/>
      <c r="F52" s="269"/>
      <c r="H52" s="269"/>
      <c r="I52" s="269"/>
      <c r="J52" s="269"/>
      <c r="L52" s="269"/>
      <c r="N52" s="269"/>
      <c r="P52" s="269"/>
      <c r="Q52" s="269"/>
    </row>
    <row r="53" spans="1:17" ht="25.5">
      <c r="A53" s="248" t="s">
        <v>180</v>
      </c>
      <c r="B53" s="131" t="s">
        <v>145</v>
      </c>
      <c r="C53" s="150" t="s">
        <v>145</v>
      </c>
      <c r="D53" s="131" t="s">
        <v>145</v>
      </c>
      <c r="E53" s="150" t="s">
        <v>145</v>
      </c>
      <c r="F53" s="131">
        <v>39066.800000000003</v>
      </c>
      <c r="G53" s="150">
        <v>108684.3</v>
      </c>
      <c r="H53" s="131" t="s">
        <v>145</v>
      </c>
      <c r="I53" s="131" t="s">
        <v>145</v>
      </c>
      <c r="J53" s="131">
        <v>35527.199999999997</v>
      </c>
      <c r="K53" s="150" t="s">
        <v>145</v>
      </c>
      <c r="L53" s="131">
        <v>244390.2</v>
      </c>
      <c r="M53" s="150">
        <v>353745.6</v>
      </c>
      <c r="N53" s="131" t="s">
        <v>145</v>
      </c>
      <c r="O53" s="150" t="s">
        <v>145</v>
      </c>
      <c r="P53" s="131">
        <v>379245.9</v>
      </c>
      <c r="Q53" s="131" t="s">
        <v>145</v>
      </c>
    </row>
    <row r="54" spans="1:17">
      <c r="A54" s="249" t="s">
        <v>181</v>
      </c>
      <c r="B54" s="131"/>
      <c r="C54" s="132"/>
      <c r="D54" s="131"/>
      <c r="E54" s="150"/>
      <c r="F54" s="131"/>
      <c r="G54" s="150"/>
      <c r="H54" s="131"/>
      <c r="I54" s="131"/>
      <c r="J54" s="131"/>
      <c r="K54" s="150"/>
      <c r="L54" s="131"/>
      <c r="M54" s="150"/>
      <c r="N54" s="131"/>
      <c r="O54" s="150"/>
      <c r="P54" s="131"/>
      <c r="Q54" s="131"/>
    </row>
    <row r="55" spans="1:17">
      <c r="A55" s="249"/>
      <c r="B55" s="131"/>
      <c r="C55" s="132"/>
      <c r="D55" s="131"/>
      <c r="E55" s="150"/>
      <c r="F55" s="131"/>
      <c r="G55" s="150"/>
      <c r="H55" s="131"/>
      <c r="I55" s="131"/>
      <c r="J55" s="131"/>
      <c r="K55" s="150"/>
      <c r="L55" s="131"/>
      <c r="M55" s="150"/>
      <c r="N55" s="131"/>
      <c r="O55" s="150"/>
      <c r="P55" s="131"/>
      <c r="Q55" s="131"/>
    </row>
    <row r="56" spans="1:17">
      <c r="A56" s="250" t="s">
        <v>7</v>
      </c>
      <c r="B56" s="131">
        <v>1419689.3</v>
      </c>
      <c r="C56" s="131">
        <v>867892.7</v>
      </c>
      <c r="D56" s="131">
        <v>834508.4</v>
      </c>
      <c r="E56" s="132">
        <v>184403.6</v>
      </c>
      <c r="F56" s="131">
        <v>504055.8</v>
      </c>
      <c r="G56" s="150">
        <v>1921436.8</v>
      </c>
      <c r="H56" s="131">
        <v>4099187.7</v>
      </c>
      <c r="I56" s="131">
        <v>358648.1</v>
      </c>
      <c r="J56" s="131">
        <v>916991.7</v>
      </c>
      <c r="K56" s="150">
        <v>608070</v>
      </c>
      <c r="L56" s="131">
        <v>1261767.7</v>
      </c>
      <c r="M56" s="150">
        <v>2283787.2000000002</v>
      </c>
      <c r="N56" s="131">
        <v>559584.9</v>
      </c>
      <c r="O56" s="150">
        <v>451548.2</v>
      </c>
      <c r="P56" s="131">
        <v>1451897.4</v>
      </c>
      <c r="Q56" s="131">
        <v>392808.2</v>
      </c>
    </row>
    <row r="57" spans="1:17">
      <c r="A57" s="251" t="s">
        <v>51</v>
      </c>
      <c r="B57" s="131"/>
      <c r="C57" s="131"/>
      <c r="D57" s="131"/>
      <c r="E57" s="132"/>
      <c r="F57" s="131"/>
      <c r="G57" s="150"/>
      <c r="H57" s="131"/>
      <c r="I57" s="131"/>
      <c r="J57" s="131"/>
      <c r="K57" s="150"/>
      <c r="L57" s="131"/>
      <c r="M57" s="150"/>
      <c r="N57" s="131"/>
      <c r="O57" s="150"/>
      <c r="P57" s="131"/>
      <c r="Q57" s="131"/>
    </row>
    <row r="58" spans="1:17">
      <c r="A58" s="244" t="s">
        <v>182</v>
      </c>
      <c r="B58" s="131" t="s">
        <v>145</v>
      </c>
      <c r="C58" s="131">
        <v>28616.1</v>
      </c>
      <c r="D58" s="131">
        <v>120664.6</v>
      </c>
      <c r="E58" s="131">
        <v>5619.5</v>
      </c>
      <c r="F58" s="131">
        <v>16558.599999999999</v>
      </c>
      <c r="G58" s="131">
        <v>123438.1</v>
      </c>
      <c r="H58" s="131">
        <v>538386.6</v>
      </c>
      <c r="I58" s="131" t="s">
        <v>145</v>
      </c>
      <c r="J58" s="131">
        <v>34201.800000000003</v>
      </c>
      <c r="K58" s="132">
        <v>35331.199999999997</v>
      </c>
      <c r="L58" s="131" t="s">
        <v>145</v>
      </c>
      <c r="M58" s="150">
        <v>65013.2</v>
      </c>
      <c r="N58" s="131">
        <v>48402.2</v>
      </c>
      <c r="O58" s="161" t="s">
        <v>145</v>
      </c>
      <c r="P58" s="131">
        <v>77457</v>
      </c>
      <c r="Q58" s="131">
        <v>78674.100000000006</v>
      </c>
    </row>
    <row r="59" spans="1:17">
      <c r="A59" s="245" t="s">
        <v>52</v>
      </c>
      <c r="B59" s="131"/>
      <c r="C59" s="131"/>
      <c r="D59" s="131"/>
      <c r="E59" s="131"/>
      <c r="F59" s="131"/>
      <c r="G59" s="131"/>
      <c r="H59" s="131"/>
      <c r="I59" s="131"/>
      <c r="J59" s="131"/>
      <c r="K59" s="131"/>
      <c r="L59" s="131"/>
      <c r="M59" s="131"/>
      <c r="N59" s="131"/>
      <c r="O59" s="131"/>
      <c r="P59" s="131"/>
      <c r="Q59" s="131"/>
    </row>
    <row r="60" spans="1:17" ht="25.5">
      <c r="A60" s="248" t="s">
        <v>314</v>
      </c>
      <c r="B60" s="131">
        <v>634089.4</v>
      </c>
      <c r="C60" s="131">
        <v>490229</v>
      </c>
      <c r="D60" s="131">
        <v>504192.3</v>
      </c>
      <c r="E60" s="131">
        <v>152161.70000000001</v>
      </c>
      <c r="F60" s="131">
        <v>270170.7</v>
      </c>
      <c r="G60" s="131">
        <v>1060626.6000000001</v>
      </c>
      <c r="H60" s="131">
        <v>2048306</v>
      </c>
      <c r="I60" s="131">
        <v>286258</v>
      </c>
      <c r="J60" s="131">
        <v>653384.30000000005</v>
      </c>
      <c r="K60" s="131">
        <v>521303.9</v>
      </c>
      <c r="L60" s="131">
        <v>681462.2</v>
      </c>
      <c r="M60" s="131">
        <v>1324855.6000000001</v>
      </c>
      <c r="N60" s="131">
        <v>217583.5</v>
      </c>
      <c r="O60" s="131">
        <v>188324.8</v>
      </c>
      <c r="P60" s="131">
        <v>858279.4</v>
      </c>
      <c r="Q60" s="131">
        <v>200710</v>
      </c>
    </row>
    <row r="61" spans="1:17" ht="25.5">
      <c r="A61" s="362" t="s">
        <v>184</v>
      </c>
      <c r="B61" s="131"/>
      <c r="C61" s="131"/>
      <c r="D61" s="131"/>
      <c r="E61" s="131"/>
      <c r="F61" s="131"/>
      <c r="G61" s="131"/>
      <c r="H61" s="131"/>
      <c r="I61" s="131"/>
      <c r="J61" s="131"/>
      <c r="K61" s="131"/>
      <c r="L61" s="131"/>
      <c r="M61" s="131"/>
      <c r="N61" s="131"/>
      <c r="O61" s="131"/>
      <c r="P61" s="131"/>
      <c r="Q61" s="131"/>
    </row>
    <row r="62" spans="1:17">
      <c r="A62" s="244" t="s">
        <v>185</v>
      </c>
      <c r="B62" s="131">
        <v>73225.100000000006</v>
      </c>
      <c r="C62" s="131">
        <v>29437.9</v>
      </c>
      <c r="D62" s="131">
        <v>118966.2</v>
      </c>
      <c r="E62" s="131" t="s">
        <v>145</v>
      </c>
      <c r="F62" s="131">
        <v>44089.1</v>
      </c>
      <c r="G62" s="131">
        <v>273714.8</v>
      </c>
      <c r="H62" s="131">
        <v>237278.1</v>
      </c>
      <c r="I62" s="131">
        <v>30670.5</v>
      </c>
      <c r="J62" s="131">
        <v>54069.9</v>
      </c>
      <c r="K62" s="131">
        <v>39669.199999999997</v>
      </c>
      <c r="L62" s="131" t="s">
        <v>145</v>
      </c>
      <c r="M62" s="131">
        <v>172738.2</v>
      </c>
      <c r="N62" s="131">
        <v>95876.3</v>
      </c>
      <c r="O62" s="131" t="s">
        <v>145</v>
      </c>
      <c r="P62" s="131">
        <v>131966.29999999999</v>
      </c>
      <c r="Q62" s="131" t="s">
        <v>145</v>
      </c>
    </row>
    <row r="63" spans="1:17">
      <c r="A63" s="249" t="s">
        <v>53</v>
      </c>
      <c r="B63" s="131"/>
      <c r="C63" s="131"/>
      <c r="D63" s="131"/>
      <c r="E63" s="131"/>
      <c r="F63" s="131"/>
      <c r="G63" s="131"/>
      <c r="H63" s="131"/>
      <c r="I63" s="131"/>
      <c r="J63" s="131"/>
      <c r="K63" s="131"/>
      <c r="L63" s="131"/>
      <c r="M63" s="131"/>
      <c r="N63" s="131"/>
      <c r="O63" s="131"/>
      <c r="P63" s="131"/>
      <c r="Q63" s="131"/>
    </row>
    <row r="64" spans="1:17">
      <c r="A64" s="244" t="s">
        <v>186</v>
      </c>
      <c r="B64" s="131" t="s">
        <v>145</v>
      </c>
      <c r="C64" s="131">
        <v>319609.7</v>
      </c>
      <c r="D64" s="131">
        <v>90685.3</v>
      </c>
      <c r="E64" s="131" t="s">
        <v>145</v>
      </c>
      <c r="F64" s="131">
        <v>173237.4</v>
      </c>
      <c r="G64" s="131">
        <v>463657.3</v>
      </c>
      <c r="H64" s="131">
        <v>1275217</v>
      </c>
      <c r="I64" s="131" t="s">
        <v>145</v>
      </c>
      <c r="J64" s="131">
        <v>175335.7</v>
      </c>
      <c r="K64" s="131">
        <v>11765.7</v>
      </c>
      <c r="L64" s="131">
        <v>188306.6</v>
      </c>
      <c r="M64" s="131">
        <v>721180.2</v>
      </c>
      <c r="N64" s="131">
        <v>197722.9</v>
      </c>
      <c r="O64" s="131">
        <v>149856.79999999999</v>
      </c>
      <c r="P64" s="131">
        <v>384194.7</v>
      </c>
      <c r="Q64" s="131" t="s">
        <v>145</v>
      </c>
    </row>
    <row r="65" spans="1:17">
      <c r="A65" s="249" t="s">
        <v>187</v>
      </c>
      <c r="B65" s="131"/>
      <c r="C65" s="131"/>
      <c r="D65" s="131"/>
      <c r="E65" s="131"/>
      <c r="F65" s="131"/>
      <c r="G65" s="131"/>
      <c r="H65" s="131"/>
      <c r="I65" s="131"/>
      <c r="J65" s="131"/>
      <c r="K65" s="131"/>
      <c r="L65" s="131"/>
      <c r="M65" s="131"/>
      <c r="N65" s="131"/>
      <c r="O65" s="131"/>
      <c r="Q65" s="131"/>
    </row>
  </sheetData>
  <mergeCells count="4">
    <mergeCell ref="B35:Q35"/>
    <mergeCell ref="B5:Q5"/>
    <mergeCell ref="A2:Q2"/>
    <mergeCell ref="A3:Q3"/>
  </mergeCells>
  <pageMargins left="0.70866141732283472" right="0.70866141732283472" top="0.74803149606299213" bottom="0.74803149606299213" header="0.31496062992125984" footer="0.31496062992125984"/>
  <pageSetup paperSize="9" scale="72" orientation="landscape" r:id="rId1"/>
  <rowBreaks count="1" manualBreakCount="1">
    <brk id="34" max="16383" man="1"/>
  </rowBreaks>
  <colBreaks count="1" manualBreakCount="1">
    <brk id="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53"/>
  <sheetViews>
    <sheetView zoomScaleNormal="100" workbookViewId="0">
      <pane ySplit="7" topLeftCell="A8" activePane="bottomLeft" state="frozen"/>
      <selection pane="bottomLeft"/>
    </sheetView>
  </sheetViews>
  <sheetFormatPr defaultColWidth="9.7109375" defaultRowHeight="12.75"/>
  <cols>
    <col min="1" max="1" width="54.85546875" style="275" customWidth="1"/>
    <col min="2" max="2" width="8.7109375" style="301" customWidth="1"/>
    <col min="3" max="4" width="14" style="225" customWidth="1"/>
    <col min="5" max="5" width="17.28515625" style="302" customWidth="1"/>
    <col min="6" max="6" width="14.42578125" style="225" customWidth="1"/>
    <col min="7" max="7" width="16.140625" style="225" customWidth="1"/>
    <col min="8" max="8" width="13.7109375" style="225" customWidth="1"/>
    <col min="9" max="9" width="19.5703125" style="225" customWidth="1"/>
    <col min="10" max="10" width="20" style="225" customWidth="1"/>
    <col min="11" max="11" width="10.42578125" style="274" customWidth="1"/>
    <col min="12" max="16" width="10.42578125" style="189" customWidth="1"/>
    <col min="17" max="242" width="10.42578125" style="275" customWidth="1"/>
    <col min="243" max="256" width="9.7109375" style="275"/>
    <col min="257" max="257" width="26.85546875" style="275" customWidth="1"/>
    <col min="258" max="258" width="6.7109375" style="275" customWidth="1"/>
    <col min="259" max="259" width="8.28515625" style="275" customWidth="1"/>
    <col min="260" max="260" width="7.7109375" style="275" customWidth="1"/>
    <col min="261" max="261" width="6.7109375" style="275" customWidth="1"/>
    <col min="262" max="262" width="9.28515625" style="275" customWidth="1"/>
    <col min="263" max="263" width="7.85546875" style="275" customWidth="1"/>
    <col min="264" max="264" width="7.7109375" style="275" customWidth="1"/>
    <col min="265" max="265" width="9.5703125" style="275" customWidth="1"/>
    <col min="266" max="266" width="9" style="275" customWidth="1"/>
    <col min="267" max="498" width="10.42578125" style="275" customWidth="1"/>
    <col min="499" max="512" width="9.7109375" style="275"/>
    <col min="513" max="513" width="26.85546875" style="275" customWidth="1"/>
    <col min="514" max="514" width="6.7109375" style="275" customWidth="1"/>
    <col min="515" max="515" width="8.28515625" style="275" customWidth="1"/>
    <col min="516" max="516" width="7.7109375" style="275" customWidth="1"/>
    <col min="517" max="517" width="6.7109375" style="275" customWidth="1"/>
    <col min="518" max="518" width="9.28515625" style="275" customWidth="1"/>
    <col min="519" max="519" width="7.85546875" style="275" customWidth="1"/>
    <col min="520" max="520" width="7.7109375" style="275" customWidth="1"/>
    <col min="521" max="521" width="9.5703125" style="275" customWidth="1"/>
    <col min="522" max="522" width="9" style="275" customWidth="1"/>
    <col min="523" max="754" width="10.42578125" style="275" customWidth="1"/>
    <col min="755" max="768" width="9.7109375" style="275"/>
    <col min="769" max="769" width="26.85546875" style="275" customWidth="1"/>
    <col min="770" max="770" width="6.7109375" style="275" customWidth="1"/>
    <col min="771" max="771" width="8.28515625" style="275" customWidth="1"/>
    <col min="772" max="772" width="7.7109375" style="275" customWidth="1"/>
    <col min="773" max="773" width="6.7109375" style="275" customWidth="1"/>
    <col min="774" max="774" width="9.28515625" style="275" customWidth="1"/>
    <col min="775" max="775" width="7.85546875" style="275" customWidth="1"/>
    <col min="776" max="776" width="7.7109375" style="275" customWidth="1"/>
    <col min="777" max="777" width="9.5703125" style="275" customWidth="1"/>
    <col min="778" max="778" width="9" style="275" customWidth="1"/>
    <col min="779" max="1010" width="10.42578125" style="275" customWidth="1"/>
    <col min="1011" max="1024" width="9.7109375" style="275"/>
    <col min="1025" max="1025" width="26.85546875" style="275" customWidth="1"/>
    <col min="1026" max="1026" width="6.7109375" style="275" customWidth="1"/>
    <col min="1027" max="1027" width="8.28515625" style="275" customWidth="1"/>
    <col min="1028" max="1028" width="7.7109375" style="275" customWidth="1"/>
    <col min="1029" max="1029" width="6.7109375" style="275" customWidth="1"/>
    <col min="1030" max="1030" width="9.28515625" style="275" customWidth="1"/>
    <col min="1031" max="1031" width="7.85546875" style="275" customWidth="1"/>
    <col min="1032" max="1032" width="7.7109375" style="275" customWidth="1"/>
    <col min="1033" max="1033" width="9.5703125" style="275" customWidth="1"/>
    <col min="1034" max="1034" width="9" style="275" customWidth="1"/>
    <col min="1035" max="1266" width="10.42578125" style="275" customWidth="1"/>
    <col min="1267" max="1280" width="9.7109375" style="275"/>
    <col min="1281" max="1281" width="26.85546875" style="275" customWidth="1"/>
    <col min="1282" max="1282" width="6.7109375" style="275" customWidth="1"/>
    <col min="1283" max="1283" width="8.28515625" style="275" customWidth="1"/>
    <col min="1284" max="1284" width="7.7109375" style="275" customWidth="1"/>
    <col min="1285" max="1285" width="6.7109375" style="275" customWidth="1"/>
    <col min="1286" max="1286" width="9.28515625" style="275" customWidth="1"/>
    <col min="1287" max="1287" width="7.85546875" style="275" customWidth="1"/>
    <col min="1288" max="1288" width="7.7109375" style="275" customWidth="1"/>
    <col min="1289" max="1289" width="9.5703125" style="275" customWidth="1"/>
    <col min="1290" max="1290" width="9" style="275" customWidth="1"/>
    <col min="1291" max="1522" width="10.42578125" style="275" customWidth="1"/>
    <col min="1523" max="1536" width="9.7109375" style="275"/>
    <col min="1537" max="1537" width="26.85546875" style="275" customWidth="1"/>
    <col min="1538" max="1538" width="6.7109375" style="275" customWidth="1"/>
    <col min="1539" max="1539" width="8.28515625" style="275" customWidth="1"/>
    <col min="1540" max="1540" width="7.7109375" style="275" customWidth="1"/>
    <col min="1541" max="1541" width="6.7109375" style="275" customWidth="1"/>
    <col min="1542" max="1542" width="9.28515625" style="275" customWidth="1"/>
    <col min="1543" max="1543" width="7.85546875" style="275" customWidth="1"/>
    <col min="1544" max="1544" width="7.7109375" style="275" customWidth="1"/>
    <col min="1545" max="1545" width="9.5703125" style="275" customWidth="1"/>
    <col min="1546" max="1546" width="9" style="275" customWidth="1"/>
    <col min="1547" max="1778" width="10.42578125" style="275" customWidth="1"/>
    <col min="1779" max="1792" width="9.7109375" style="275"/>
    <col min="1793" max="1793" width="26.85546875" style="275" customWidth="1"/>
    <col min="1794" max="1794" width="6.7109375" style="275" customWidth="1"/>
    <col min="1795" max="1795" width="8.28515625" style="275" customWidth="1"/>
    <col min="1796" max="1796" width="7.7109375" style="275" customWidth="1"/>
    <col min="1797" max="1797" width="6.7109375" style="275" customWidth="1"/>
    <col min="1798" max="1798" width="9.28515625" style="275" customWidth="1"/>
    <col min="1799" max="1799" width="7.85546875" style="275" customWidth="1"/>
    <col min="1800" max="1800" width="7.7109375" style="275" customWidth="1"/>
    <col min="1801" max="1801" width="9.5703125" style="275" customWidth="1"/>
    <col min="1802" max="1802" width="9" style="275" customWidth="1"/>
    <col min="1803" max="2034" width="10.42578125" style="275" customWidth="1"/>
    <col min="2035" max="2048" width="9.7109375" style="275"/>
    <col min="2049" max="2049" width="26.85546875" style="275" customWidth="1"/>
    <col min="2050" max="2050" width="6.7109375" style="275" customWidth="1"/>
    <col min="2051" max="2051" width="8.28515625" style="275" customWidth="1"/>
    <col min="2052" max="2052" width="7.7109375" style="275" customWidth="1"/>
    <col min="2053" max="2053" width="6.7109375" style="275" customWidth="1"/>
    <col min="2054" max="2054" width="9.28515625" style="275" customWidth="1"/>
    <col min="2055" max="2055" width="7.85546875" style="275" customWidth="1"/>
    <col min="2056" max="2056" width="7.7109375" style="275" customWidth="1"/>
    <col min="2057" max="2057" width="9.5703125" style="275" customWidth="1"/>
    <col min="2058" max="2058" width="9" style="275" customWidth="1"/>
    <col min="2059" max="2290" width="10.42578125" style="275" customWidth="1"/>
    <col min="2291" max="2304" width="9.7109375" style="275"/>
    <col min="2305" max="2305" width="26.85546875" style="275" customWidth="1"/>
    <col min="2306" max="2306" width="6.7109375" style="275" customWidth="1"/>
    <col min="2307" max="2307" width="8.28515625" style="275" customWidth="1"/>
    <col min="2308" max="2308" width="7.7109375" style="275" customWidth="1"/>
    <col min="2309" max="2309" width="6.7109375" style="275" customWidth="1"/>
    <col min="2310" max="2310" width="9.28515625" style="275" customWidth="1"/>
    <col min="2311" max="2311" width="7.85546875" style="275" customWidth="1"/>
    <col min="2312" max="2312" width="7.7109375" style="275" customWidth="1"/>
    <col min="2313" max="2313" width="9.5703125" style="275" customWidth="1"/>
    <col min="2314" max="2314" width="9" style="275" customWidth="1"/>
    <col min="2315" max="2546" width="10.42578125" style="275" customWidth="1"/>
    <col min="2547" max="2560" width="9.7109375" style="275"/>
    <col min="2561" max="2561" width="26.85546875" style="275" customWidth="1"/>
    <col min="2562" max="2562" width="6.7109375" style="275" customWidth="1"/>
    <col min="2563" max="2563" width="8.28515625" style="275" customWidth="1"/>
    <col min="2564" max="2564" width="7.7109375" style="275" customWidth="1"/>
    <col min="2565" max="2565" width="6.7109375" style="275" customWidth="1"/>
    <col min="2566" max="2566" width="9.28515625" style="275" customWidth="1"/>
    <col min="2567" max="2567" width="7.85546875" style="275" customWidth="1"/>
    <col min="2568" max="2568" width="7.7109375" style="275" customWidth="1"/>
    <col min="2569" max="2569" width="9.5703125" style="275" customWidth="1"/>
    <col min="2570" max="2570" width="9" style="275" customWidth="1"/>
    <col min="2571" max="2802" width="10.42578125" style="275" customWidth="1"/>
    <col min="2803" max="2816" width="9.7109375" style="275"/>
    <col min="2817" max="2817" width="26.85546875" style="275" customWidth="1"/>
    <col min="2818" max="2818" width="6.7109375" style="275" customWidth="1"/>
    <col min="2819" max="2819" width="8.28515625" style="275" customWidth="1"/>
    <col min="2820" max="2820" width="7.7109375" style="275" customWidth="1"/>
    <col min="2821" max="2821" width="6.7109375" style="275" customWidth="1"/>
    <col min="2822" max="2822" width="9.28515625" style="275" customWidth="1"/>
    <col min="2823" max="2823" width="7.85546875" style="275" customWidth="1"/>
    <col min="2824" max="2824" width="7.7109375" style="275" customWidth="1"/>
    <col min="2825" max="2825" width="9.5703125" style="275" customWidth="1"/>
    <col min="2826" max="2826" width="9" style="275" customWidth="1"/>
    <col min="2827" max="3058" width="10.42578125" style="275" customWidth="1"/>
    <col min="3059" max="3072" width="9.7109375" style="275"/>
    <col min="3073" max="3073" width="26.85546875" style="275" customWidth="1"/>
    <col min="3074" max="3074" width="6.7109375" style="275" customWidth="1"/>
    <col min="3075" max="3075" width="8.28515625" style="275" customWidth="1"/>
    <col min="3076" max="3076" width="7.7109375" style="275" customWidth="1"/>
    <col min="3077" max="3077" width="6.7109375" style="275" customWidth="1"/>
    <col min="3078" max="3078" width="9.28515625" style="275" customWidth="1"/>
    <col min="3079" max="3079" width="7.85546875" style="275" customWidth="1"/>
    <col min="3080" max="3080" width="7.7109375" style="275" customWidth="1"/>
    <col min="3081" max="3081" width="9.5703125" style="275" customWidth="1"/>
    <col min="3082" max="3082" width="9" style="275" customWidth="1"/>
    <col min="3083" max="3314" width="10.42578125" style="275" customWidth="1"/>
    <col min="3315" max="3328" width="9.7109375" style="275"/>
    <col min="3329" max="3329" width="26.85546875" style="275" customWidth="1"/>
    <col min="3330" max="3330" width="6.7109375" style="275" customWidth="1"/>
    <col min="3331" max="3331" width="8.28515625" style="275" customWidth="1"/>
    <col min="3332" max="3332" width="7.7109375" style="275" customWidth="1"/>
    <col min="3333" max="3333" width="6.7109375" style="275" customWidth="1"/>
    <col min="3334" max="3334" width="9.28515625" style="275" customWidth="1"/>
    <col min="3335" max="3335" width="7.85546875" style="275" customWidth="1"/>
    <col min="3336" max="3336" width="7.7109375" style="275" customWidth="1"/>
    <col min="3337" max="3337" width="9.5703125" style="275" customWidth="1"/>
    <col min="3338" max="3338" width="9" style="275" customWidth="1"/>
    <col min="3339" max="3570" width="10.42578125" style="275" customWidth="1"/>
    <col min="3571" max="3584" width="9.7109375" style="275"/>
    <col min="3585" max="3585" width="26.85546875" style="275" customWidth="1"/>
    <col min="3586" max="3586" width="6.7109375" style="275" customWidth="1"/>
    <col min="3587" max="3587" width="8.28515625" style="275" customWidth="1"/>
    <col min="3588" max="3588" width="7.7109375" style="275" customWidth="1"/>
    <col min="3589" max="3589" width="6.7109375" style="275" customWidth="1"/>
    <col min="3590" max="3590" width="9.28515625" style="275" customWidth="1"/>
    <col min="3591" max="3591" width="7.85546875" style="275" customWidth="1"/>
    <col min="3592" max="3592" width="7.7109375" style="275" customWidth="1"/>
    <col min="3593" max="3593" width="9.5703125" style="275" customWidth="1"/>
    <col min="3594" max="3594" width="9" style="275" customWidth="1"/>
    <col min="3595" max="3826" width="10.42578125" style="275" customWidth="1"/>
    <col min="3827" max="3840" width="9.7109375" style="275"/>
    <col min="3841" max="3841" width="26.85546875" style="275" customWidth="1"/>
    <col min="3842" max="3842" width="6.7109375" style="275" customWidth="1"/>
    <col min="3843" max="3843" width="8.28515625" style="275" customWidth="1"/>
    <col min="3844" max="3844" width="7.7109375" style="275" customWidth="1"/>
    <col min="3845" max="3845" width="6.7109375" style="275" customWidth="1"/>
    <col min="3846" max="3846" width="9.28515625" style="275" customWidth="1"/>
    <col min="3847" max="3847" width="7.85546875" style="275" customWidth="1"/>
    <col min="3848" max="3848" width="7.7109375" style="275" customWidth="1"/>
    <col min="3849" max="3849" width="9.5703125" style="275" customWidth="1"/>
    <col min="3850" max="3850" width="9" style="275" customWidth="1"/>
    <col min="3851" max="4082" width="10.42578125" style="275" customWidth="1"/>
    <col min="4083" max="4096" width="9.7109375" style="275"/>
    <col min="4097" max="4097" width="26.85546875" style="275" customWidth="1"/>
    <col min="4098" max="4098" width="6.7109375" style="275" customWidth="1"/>
    <col min="4099" max="4099" width="8.28515625" style="275" customWidth="1"/>
    <col min="4100" max="4100" width="7.7109375" style="275" customWidth="1"/>
    <col min="4101" max="4101" width="6.7109375" style="275" customWidth="1"/>
    <col min="4102" max="4102" width="9.28515625" style="275" customWidth="1"/>
    <col min="4103" max="4103" width="7.85546875" style="275" customWidth="1"/>
    <col min="4104" max="4104" width="7.7109375" style="275" customWidth="1"/>
    <col min="4105" max="4105" width="9.5703125" style="275" customWidth="1"/>
    <col min="4106" max="4106" width="9" style="275" customWidth="1"/>
    <col min="4107" max="4338" width="10.42578125" style="275" customWidth="1"/>
    <col min="4339" max="4352" width="9.7109375" style="275"/>
    <col min="4353" max="4353" width="26.85546875" style="275" customWidth="1"/>
    <col min="4354" max="4354" width="6.7109375" style="275" customWidth="1"/>
    <col min="4355" max="4355" width="8.28515625" style="275" customWidth="1"/>
    <col min="4356" max="4356" width="7.7109375" style="275" customWidth="1"/>
    <col min="4357" max="4357" width="6.7109375" style="275" customWidth="1"/>
    <col min="4358" max="4358" width="9.28515625" style="275" customWidth="1"/>
    <col min="4359" max="4359" width="7.85546875" style="275" customWidth="1"/>
    <col min="4360" max="4360" width="7.7109375" style="275" customWidth="1"/>
    <col min="4361" max="4361" width="9.5703125" style="275" customWidth="1"/>
    <col min="4362" max="4362" width="9" style="275" customWidth="1"/>
    <col min="4363" max="4594" width="10.42578125" style="275" customWidth="1"/>
    <col min="4595" max="4608" width="9.7109375" style="275"/>
    <col min="4609" max="4609" width="26.85546875" style="275" customWidth="1"/>
    <col min="4610" max="4610" width="6.7109375" style="275" customWidth="1"/>
    <col min="4611" max="4611" width="8.28515625" style="275" customWidth="1"/>
    <col min="4612" max="4612" width="7.7109375" style="275" customWidth="1"/>
    <col min="4613" max="4613" width="6.7109375" style="275" customWidth="1"/>
    <col min="4614" max="4614" width="9.28515625" style="275" customWidth="1"/>
    <col min="4615" max="4615" width="7.85546875" style="275" customWidth="1"/>
    <col min="4616" max="4616" width="7.7109375" style="275" customWidth="1"/>
    <col min="4617" max="4617" width="9.5703125" style="275" customWidth="1"/>
    <col min="4618" max="4618" width="9" style="275" customWidth="1"/>
    <col min="4619" max="4850" width="10.42578125" style="275" customWidth="1"/>
    <col min="4851" max="4864" width="9.7109375" style="275"/>
    <col min="4865" max="4865" width="26.85546875" style="275" customWidth="1"/>
    <col min="4866" max="4866" width="6.7109375" style="275" customWidth="1"/>
    <col min="4867" max="4867" width="8.28515625" style="275" customWidth="1"/>
    <col min="4868" max="4868" width="7.7109375" style="275" customWidth="1"/>
    <col min="4869" max="4869" width="6.7109375" style="275" customWidth="1"/>
    <col min="4870" max="4870" width="9.28515625" style="275" customWidth="1"/>
    <col min="4871" max="4871" width="7.85546875" style="275" customWidth="1"/>
    <col min="4872" max="4872" width="7.7109375" style="275" customWidth="1"/>
    <col min="4873" max="4873" width="9.5703125" style="275" customWidth="1"/>
    <col min="4874" max="4874" width="9" style="275" customWidth="1"/>
    <col min="4875" max="5106" width="10.42578125" style="275" customWidth="1"/>
    <col min="5107" max="5120" width="9.7109375" style="275"/>
    <col min="5121" max="5121" width="26.85546875" style="275" customWidth="1"/>
    <col min="5122" max="5122" width="6.7109375" style="275" customWidth="1"/>
    <col min="5123" max="5123" width="8.28515625" style="275" customWidth="1"/>
    <col min="5124" max="5124" width="7.7109375" style="275" customWidth="1"/>
    <col min="5125" max="5125" width="6.7109375" style="275" customWidth="1"/>
    <col min="5126" max="5126" width="9.28515625" style="275" customWidth="1"/>
    <col min="5127" max="5127" width="7.85546875" style="275" customWidth="1"/>
    <col min="5128" max="5128" width="7.7109375" style="275" customWidth="1"/>
    <col min="5129" max="5129" width="9.5703125" style="275" customWidth="1"/>
    <col min="5130" max="5130" width="9" style="275" customWidth="1"/>
    <col min="5131" max="5362" width="10.42578125" style="275" customWidth="1"/>
    <col min="5363" max="5376" width="9.7109375" style="275"/>
    <col min="5377" max="5377" width="26.85546875" style="275" customWidth="1"/>
    <col min="5378" max="5378" width="6.7109375" style="275" customWidth="1"/>
    <col min="5379" max="5379" width="8.28515625" style="275" customWidth="1"/>
    <col min="5380" max="5380" width="7.7109375" style="275" customWidth="1"/>
    <col min="5381" max="5381" width="6.7109375" style="275" customWidth="1"/>
    <col min="5382" max="5382" width="9.28515625" style="275" customWidth="1"/>
    <col min="5383" max="5383" width="7.85546875" style="275" customWidth="1"/>
    <col min="5384" max="5384" width="7.7109375" style="275" customWidth="1"/>
    <col min="5385" max="5385" width="9.5703125" style="275" customWidth="1"/>
    <col min="5386" max="5386" width="9" style="275" customWidth="1"/>
    <col min="5387" max="5618" width="10.42578125" style="275" customWidth="1"/>
    <col min="5619" max="5632" width="9.7109375" style="275"/>
    <col min="5633" max="5633" width="26.85546875" style="275" customWidth="1"/>
    <col min="5634" max="5634" width="6.7109375" style="275" customWidth="1"/>
    <col min="5635" max="5635" width="8.28515625" style="275" customWidth="1"/>
    <col min="5636" max="5636" width="7.7109375" style="275" customWidth="1"/>
    <col min="5637" max="5637" width="6.7109375" style="275" customWidth="1"/>
    <col min="5638" max="5638" width="9.28515625" style="275" customWidth="1"/>
    <col min="5639" max="5639" width="7.85546875" style="275" customWidth="1"/>
    <col min="5640" max="5640" width="7.7109375" style="275" customWidth="1"/>
    <col min="5641" max="5641" width="9.5703125" style="275" customWidth="1"/>
    <col min="5642" max="5642" width="9" style="275" customWidth="1"/>
    <col min="5643" max="5874" width="10.42578125" style="275" customWidth="1"/>
    <col min="5875" max="5888" width="9.7109375" style="275"/>
    <col min="5889" max="5889" width="26.85546875" style="275" customWidth="1"/>
    <col min="5890" max="5890" width="6.7109375" style="275" customWidth="1"/>
    <col min="5891" max="5891" width="8.28515625" style="275" customWidth="1"/>
    <col min="5892" max="5892" width="7.7109375" style="275" customWidth="1"/>
    <col min="5893" max="5893" width="6.7109375" style="275" customWidth="1"/>
    <col min="5894" max="5894" width="9.28515625" style="275" customWidth="1"/>
    <col min="5895" max="5895" width="7.85546875" style="275" customWidth="1"/>
    <col min="5896" max="5896" width="7.7109375" style="275" customWidth="1"/>
    <col min="5897" max="5897" width="9.5703125" style="275" customWidth="1"/>
    <col min="5898" max="5898" width="9" style="275" customWidth="1"/>
    <col min="5899" max="6130" width="10.42578125" style="275" customWidth="1"/>
    <col min="6131" max="6144" width="9.7109375" style="275"/>
    <col min="6145" max="6145" width="26.85546875" style="275" customWidth="1"/>
    <col min="6146" max="6146" width="6.7109375" style="275" customWidth="1"/>
    <col min="6147" max="6147" width="8.28515625" style="275" customWidth="1"/>
    <col min="6148" max="6148" width="7.7109375" style="275" customWidth="1"/>
    <col min="6149" max="6149" width="6.7109375" style="275" customWidth="1"/>
    <col min="6150" max="6150" width="9.28515625" style="275" customWidth="1"/>
    <col min="6151" max="6151" width="7.85546875" style="275" customWidth="1"/>
    <col min="6152" max="6152" width="7.7109375" style="275" customWidth="1"/>
    <col min="6153" max="6153" width="9.5703125" style="275" customWidth="1"/>
    <col min="6154" max="6154" width="9" style="275" customWidth="1"/>
    <col min="6155" max="6386" width="10.42578125" style="275" customWidth="1"/>
    <col min="6387" max="6400" width="9.7109375" style="275"/>
    <col min="6401" max="6401" width="26.85546875" style="275" customWidth="1"/>
    <col min="6402" max="6402" width="6.7109375" style="275" customWidth="1"/>
    <col min="6403" max="6403" width="8.28515625" style="275" customWidth="1"/>
    <col min="6404" max="6404" width="7.7109375" style="275" customWidth="1"/>
    <col min="6405" max="6405" width="6.7109375" style="275" customWidth="1"/>
    <col min="6406" max="6406" width="9.28515625" style="275" customWidth="1"/>
    <col min="6407" max="6407" width="7.85546875" style="275" customWidth="1"/>
    <col min="6408" max="6408" width="7.7109375" style="275" customWidth="1"/>
    <col min="6409" max="6409" width="9.5703125" style="275" customWidth="1"/>
    <col min="6410" max="6410" width="9" style="275" customWidth="1"/>
    <col min="6411" max="6642" width="10.42578125" style="275" customWidth="1"/>
    <col min="6643" max="6656" width="9.7109375" style="275"/>
    <col min="6657" max="6657" width="26.85546875" style="275" customWidth="1"/>
    <col min="6658" max="6658" width="6.7109375" style="275" customWidth="1"/>
    <col min="6659" max="6659" width="8.28515625" style="275" customWidth="1"/>
    <col min="6660" max="6660" width="7.7109375" style="275" customWidth="1"/>
    <col min="6661" max="6661" width="6.7109375" style="275" customWidth="1"/>
    <col min="6662" max="6662" width="9.28515625" style="275" customWidth="1"/>
    <col min="6663" max="6663" width="7.85546875" style="275" customWidth="1"/>
    <col min="6664" max="6664" width="7.7109375" style="275" customWidth="1"/>
    <col min="6665" max="6665" width="9.5703125" style="275" customWidth="1"/>
    <col min="6666" max="6666" width="9" style="275" customWidth="1"/>
    <col min="6667" max="6898" width="10.42578125" style="275" customWidth="1"/>
    <col min="6899" max="6912" width="9.7109375" style="275"/>
    <col min="6913" max="6913" width="26.85546875" style="275" customWidth="1"/>
    <col min="6914" max="6914" width="6.7109375" style="275" customWidth="1"/>
    <col min="6915" max="6915" width="8.28515625" style="275" customWidth="1"/>
    <col min="6916" max="6916" width="7.7109375" style="275" customWidth="1"/>
    <col min="6917" max="6917" width="6.7109375" style="275" customWidth="1"/>
    <col min="6918" max="6918" width="9.28515625" style="275" customWidth="1"/>
    <col min="6919" max="6919" width="7.85546875" style="275" customWidth="1"/>
    <col min="6920" max="6920" width="7.7109375" style="275" customWidth="1"/>
    <col min="6921" max="6921" width="9.5703125" style="275" customWidth="1"/>
    <col min="6922" max="6922" width="9" style="275" customWidth="1"/>
    <col min="6923" max="7154" width="10.42578125" style="275" customWidth="1"/>
    <col min="7155" max="7168" width="9.7109375" style="275"/>
    <col min="7169" max="7169" width="26.85546875" style="275" customWidth="1"/>
    <col min="7170" max="7170" width="6.7109375" style="275" customWidth="1"/>
    <col min="7171" max="7171" width="8.28515625" style="275" customWidth="1"/>
    <col min="7172" max="7172" width="7.7109375" style="275" customWidth="1"/>
    <col min="7173" max="7173" width="6.7109375" style="275" customWidth="1"/>
    <col min="7174" max="7174" width="9.28515625" style="275" customWidth="1"/>
    <col min="7175" max="7175" width="7.85546875" style="275" customWidth="1"/>
    <col min="7176" max="7176" width="7.7109375" style="275" customWidth="1"/>
    <col min="7177" max="7177" width="9.5703125" style="275" customWidth="1"/>
    <col min="7178" max="7178" width="9" style="275" customWidth="1"/>
    <col min="7179" max="7410" width="10.42578125" style="275" customWidth="1"/>
    <col min="7411" max="7424" width="9.7109375" style="275"/>
    <col min="7425" max="7425" width="26.85546875" style="275" customWidth="1"/>
    <col min="7426" max="7426" width="6.7109375" style="275" customWidth="1"/>
    <col min="7427" max="7427" width="8.28515625" style="275" customWidth="1"/>
    <col min="7428" max="7428" width="7.7109375" style="275" customWidth="1"/>
    <col min="7429" max="7429" width="6.7109375" style="275" customWidth="1"/>
    <col min="7430" max="7430" width="9.28515625" style="275" customWidth="1"/>
    <col min="7431" max="7431" width="7.85546875" style="275" customWidth="1"/>
    <col min="7432" max="7432" width="7.7109375" style="275" customWidth="1"/>
    <col min="7433" max="7433" width="9.5703125" style="275" customWidth="1"/>
    <col min="7434" max="7434" width="9" style="275" customWidth="1"/>
    <col min="7435" max="7666" width="10.42578125" style="275" customWidth="1"/>
    <col min="7667" max="7680" width="9.7109375" style="275"/>
    <col min="7681" max="7681" width="26.85546875" style="275" customWidth="1"/>
    <col min="7682" max="7682" width="6.7109375" style="275" customWidth="1"/>
    <col min="7683" max="7683" width="8.28515625" style="275" customWidth="1"/>
    <col min="7684" max="7684" width="7.7109375" style="275" customWidth="1"/>
    <col min="7685" max="7685" width="6.7109375" style="275" customWidth="1"/>
    <col min="7686" max="7686" width="9.28515625" style="275" customWidth="1"/>
    <col min="7687" max="7687" width="7.85546875" style="275" customWidth="1"/>
    <col min="7688" max="7688" width="7.7109375" style="275" customWidth="1"/>
    <col min="7689" max="7689" width="9.5703125" style="275" customWidth="1"/>
    <col min="7690" max="7690" width="9" style="275" customWidth="1"/>
    <col min="7691" max="7922" width="10.42578125" style="275" customWidth="1"/>
    <col min="7923" max="7936" width="9.7109375" style="275"/>
    <col min="7937" max="7937" width="26.85546875" style="275" customWidth="1"/>
    <col min="7938" max="7938" width="6.7109375" style="275" customWidth="1"/>
    <col min="7939" max="7939" width="8.28515625" style="275" customWidth="1"/>
    <col min="7940" max="7940" width="7.7109375" style="275" customWidth="1"/>
    <col min="7941" max="7941" width="6.7109375" style="275" customWidth="1"/>
    <col min="7942" max="7942" width="9.28515625" style="275" customWidth="1"/>
    <col min="7943" max="7943" width="7.85546875" style="275" customWidth="1"/>
    <col min="7944" max="7944" width="7.7109375" style="275" customWidth="1"/>
    <col min="7945" max="7945" width="9.5703125" style="275" customWidth="1"/>
    <col min="7946" max="7946" width="9" style="275" customWidth="1"/>
    <col min="7947" max="8178" width="10.42578125" style="275" customWidth="1"/>
    <col min="8179" max="8192" width="9.7109375" style="275"/>
    <col min="8193" max="8193" width="26.85546875" style="275" customWidth="1"/>
    <col min="8194" max="8194" width="6.7109375" style="275" customWidth="1"/>
    <col min="8195" max="8195" width="8.28515625" style="275" customWidth="1"/>
    <col min="8196" max="8196" width="7.7109375" style="275" customWidth="1"/>
    <col min="8197" max="8197" width="6.7109375" style="275" customWidth="1"/>
    <col min="8198" max="8198" width="9.28515625" style="275" customWidth="1"/>
    <col min="8199" max="8199" width="7.85546875" style="275" customWidth="1"/>
    <col min="8200" max="8200" width="7.7109375" style="275" customWidth="1"/>
    <col min="8201" max="8201" width="9.5703125" style="275" customWidth="1"/>
    <col min="8202" max="8202" width="9" style="275" customWidth="1"/>
    <col min="8203" max="8434" width="10.42578125" style="275" customWidth="1"/>
    <col min="8435" max="8448" width="9.7109375" style="275"/>
    <col min="8449" max="8449" width="26.85546875" style="275" customWidth="1"/>
    <col min="8450" max="8450" width="6.7109375" style="275" customWidth="1"/>
    <col min="8451" max="8451" width="8.28515625" style="275" customWidth="1"/>
    <col min="8452" max="8452" width="7.7109375" style="275" customWidth="1"/>
    <col min="8453" max="8453" width="6.7109375" style="275" customWidth="1"/>
    <col min="8454" max="8454" width="9.28515625" style="275" customWidth="1"/>
    <col min="8455" max="8455" width="7.85546875" style="275" customWidth="1"/>
    <col min="8456" max="8456" width="7.7109375" style="275" customWidth="1"/>
    <col min="8457" max="8457" width="9.5703125" style="275" customWidth="1"/>
    <col min="8458" max="8458" width="9" style="275" customWidth="1"/>
    <col min="8459" max="8690" width="10.42578125" style="275" customWidth="1"/>
    <col min="8691" max="8704" width="9.7109375" style="275"/>
    <col min="8705" max="8705" width="26.85546875" style="275" customWidth="1"/>
    <col min="8706" max="8706" width="6.7109375" style="275" customWidth="1"/>
    <col min="8707" max="8707" width="8.28515625" style="275" customWidth="1"/>
    <col min="8708" max="8708" width="7.7109375" style="275" customWidth="1"/>
    <col min="8709" max="8709" width="6.7109375" style="275" customWidth="1"/>
    <col min="8710" max="8710" width="9.28515625" style="275" customWidth="1"/>
    <col min="8711" max="8711" width="7.85546875" style="275" customWidth="1"/>
    <col min="8712" max="8712" width="7.7109375" style="275" customWidth="1"/>
    <col min="8713" max="8713" width="9.5703125" style="275" customWidth="1"/>
    <col min="8714" max="8714" width="9" style="275" customWidth="1"/>
    <col min="8715" max="8946" width="10.42578125" style="275" customWidth="1"/>
    <col min="8947" max="8960" width="9.7109375" style="275"/>
    <col min="8961" max="8961" width="26.85546875" style="275" customWidth="1"/>
    <col min="8962" max="8962" width="6.7109375" style="275" customWidth="1"/>
    <col min="8963" max="8963" width="8.28515625" style="275" customWidth="1"/>
    <col min="8964" max="8964" width="7.7109375" style="275" customWidth="1"/>
    <col min="8965" max="8965" width="6.7109375" style="275" customWidth="1"/>
    <col min="8966" max="8966" width="9.28515625" style="275" customWidth="1"/>
    <col min="8967" max="8967" width="7.85546875" style="275" customWidth="1"/>
    <col min="8968" max="8968" width="7.7109375" style="275" customWidth="1"/>
    <col min="8969" max="8969" width="9.5703125" style="275" customWidth="1"/>
    <col min="8970" max="8970" width="9" style="275" customWidth="1"/>
    <col min="8971" max="9202" width="10.42578125" style="275" customWidth="1"/>
    <col min="9203" max="9216" width="9.7109375" style="275"/>
    <col min="9217" max="9217" width="26.85546875" style="275" customWidth="1"/>
    <col min="9218" max="9218" width="6.7109375" style="275" customWidth="1"/>
    <col min="9219" max="9219" width="8.28515625" style="275" customWidth="1"/>
    <col min="9220" max="9220" width="7.7109375" style="275" customWidth="1"/>
    <col min="9221" max="9221" width="6.7109375" style="275" customWidth="1"/>
    <col min="9222" max="9222" width="9.28515625" style="275" customWidth="1"/>
    <col min="9223" max="9223" width="7.85546875" style="275" customWidth="1"/>
    <col min="9224" max="9224" width="7.7109375" style="275" customWidth="1"/>
    <col min="9225" max="9225" width="9.5703125" style="275" customWidth="1"/>
    <col min="9226" max="9226" width="9" style="275" customWidth="1"/>
    <col min="9227" max="9458" width="10.42578125" style="275" customWidth="1"/>
    <col min="9459" max="9472" width="9.7109375" style="275"/>
    <col min="9473" max="9473" width="26.85546875" style="275" customWidth="1"/>
    <col min="9474" max="9474" width="6.7109375" style="275" customWidth="1"/>
    <col min="9475" max="9475" width="8.28515625" style="275" customWidth="1"/>
    <col min="9476" max="9476" width="7.7109375" style="275" customWidth="1"/>
    <col min="9477" max="9477" width="6.7109375" style="275" customWidth="1"/>
    <col min="9478" max="9478" width="9.28515625" style="275" customWidth="1"/>
    <col min="9479" max="9479" width="7.85546875" style="275" customWidth="1"/>
    <col min="9480" max="9480" width="7.7109375" style="275" customWidth="1"/>
    <col min="9481" max="9481" width="9.5703125" style="275" customWidth="1"/>
    <col min="9482" max="9482" width="9" style="275" customWidth="1"/>
    <col min="9483" max="9714" width="10.42578125" style="275" customWidth="1"/>
    <col min="9715" max="9728" width="9.7109375" style="275"/>
    <col min="9729" max="9729" width="26.85546875" style="275" customWidth="1"/>
    <col min="9730" max="9730" width="6.7109375" style="275" customWidth="1"/>
    <col min="9731" max="9731" width="8.28515625" style="275" customWidth="1"/>
    <col min="9732" max="9732" width="7.7109375" style="275" customWidth="1"/>
    <col min="9733" max="9733" width="6.7109375" style="275" customWidth="1"/>
    <col min="9734" max="9734" width="9.28515625" style="275" customWidth="1"/>
    <col min="9735" max="9735" width="7.85546875" style="275" customWidth="1"/>
    <col min="9736" max="9736" width="7.7109375" style="275" customWidth="1"/>
    <col min="9737" max="9737" width="9.5703125" style="275" customWidth="1"/>
    <col min="9738" max="9738" width="9" style="275" customWidth="1"/>
    <col min="9739" max="9970" width="10.42578125" style="275" customWidth="1"/>
    <col min="9971" max="9984" width="9.7109375" style="275"/>
    <col min="9985" max="9985" width="26.85546875" style="275" customWidth="1"/>
    <col min="9986" max="9986" width="6.7109375" style="275" customWidth="1"/>
    <col min="9987" max="9987" width="8.28515625" style="275" customWidth="1"/>
    <col min="9988" max="9988" width="7.7109375" style="275" customWidth="1"/>
    <col min="9989" max="9989" width="6.7109375" style="275" customWidth="1"/>
    <col min="9990" max="9990" width="9.28515625" style="275" customWidth="1"/>
    <col min="9991" max="9991" width="7.85546875" style="275" customWidth="1"/>
    <col min="9992" max="9992" width="7.7109375" style="275" customWidth="1"/>
    <col min="9993" max="9993" width="9.5703125" style="275" customWidth="1"/>
    <col min="9994" max="9994" width="9" style="275" customWidth="1"/>
    <col min="9995" max="10226" width="10.42578125" style="275" customWidth="1"/>
    <col min="10227" max="10240" width="9.7109375" style="275"/>
    <col min="10241" max="10241" width="26.85546875" style="275" customWidth="1"/>
    <col min="10242" max="10242" width="6.7109375" style="275" customWidth="1"/>
    <col min="10243" max="10243" width="8.28515625" style="275" customWidth="1"/>
    <col min="10244" max="10244" width="7.7109375" style="275" customWidth="1"/>
    <col min="10245" max="10245" width="6.7109375" style="275" customWidth="1"/>
    <col min="10246" max="10246" width="9.28515625" style="275" customWidth="1"/>
    <col min="10247" max="10247" width="7.85546875" style="275" customWidth="1"/>
    <col min="10248" max="10248" width="7.7109375" style="275" customWidth="1"/>
    <col min="10249" max="10249" width="9.5703125" style="275" customWidth="1"/>
    <col min="10250" max="10250" width="9" style="275" customWidth="1"/>
    <col min="10251" max="10482" width="10.42578125" style="275" customWidth="1"/>
    <col min="10483" max="10496" width="9.7109375" style="275"/>
    <col min="10497" max="10497" width="26.85546875" style="275" customWidth="1"/>
    <col min="10498" max="10498" width="6.7109375" style="275" customWidth="1"/>
    <col min="10499" max="10499" width="8.28515625" style="275" customWidth="1"/>
    <col min="10500" max="10500" width="7.7109375" style="275" customWidth="1"/>
    <col min="10501" max="10501" width="6.7109375" style="275" customWidth="1"/>
    <col min="10502" max="10502" width="9.28515625" style="275" customWidth="1"/>
    <col min="10503" max="10503" width="7.85546875" style="275" customWidth="1"/>
    <col min="10504" max="10504" width="7.7109375" style="275" customWidth="1"/>
    <col min="10505" max="10505" width="9.5703125" style="275" customWidth="1"/>
    <col min="10506" max="10506" width="9" style="275" customWidth="1"/>
    <col min="10507" max="10738" width="10.42578125" style="275" customWidth="1"/>
    <col min="10739" max="10752" width="9.7109375" style="275"/>
    <col min="10753" max="10753" width="26.85546875" style="275" customWidth="1"/>
    <col min="10754" max="10754" width="6.7109375" style="275" customWidth="1"/>
    <col min="10755" max="10755" width="8.28515625" style="275" customWidth="1"/>
    <col min="10756" max="10756" width="7.7109375" style="275" customWidth="1"/>
    <col min="10757" max="10757" width="6.7109375" style="275" customWidth="1"/>
    <col min="10758" max="10758" width="9.28515625" style="275" customWidth="1"/>
    <col min="10759" max="10759" width="7.85546875" style="275" customWidth="1"/>
    <col min="10760" max="10760" width="7.7109375" style="275" customWidth="1"/>
    <col min="10761" max="10761" width="9.5703125" style="275" customWidth="1"/>
    <col min="10762" max="10762" width="9" style="275" customWidth="1"/>
    <col min="10763" max="10994" width="10.42578125" style="275" customWidth="1"/>
    <col min="10995" max="11008" width="9.7109375" style="275"/>
    <col min="11009" max="11009" width="26.85546875" style="275" customWidth="1"/>
    <col min="11010" max="11010" width="6.7109375" style="275" customWidth="1"/>
    <col min="11011" max="11011" width="8.28515625" style="275" customWidth="1"/>
    <col min="11012" max="11012" width="7.7109375" style="275" customWidth="1"/>
    <col min="11013" max="11013" width="6.7109375" style="275" customWidth="1"/>
    <col min="11014" max="11014" width="9.28515625" style="275" customWidth="1"/>
    <col min="11015" max="11015" width="7.85546875" style="275" customWidth="1"/>
    <col min="11016" max="11016" width="7.7109375" style="275" customWidth="1"/>
    <col min="11017" max="11017" width="9.5703125" style="275" customWidth="1"/>
    <col min="11018" max="11018" width="9" style="275" customWidth="1"/>
    <col min="11019" max="11250" width="10.42578125" style="275" customWidth="1"/>
    <col min="11251" max="11264" width="9.7109375" style="275"/>
    <col min="11265" max="11265" width="26.85546875" style="275" customWidth="1"/>
    <col min="11266" max="11266" width="6.7109375" style="275" customWidth="1"/>
    <col min="11267" max="11267" width="8.28515625" style="275" customWidth="1"/>
    <col min="11268" max="11268" width="7.7109375" style="275" customWidth="1"/>
    <col min="11269" max="11269" width="6.7109375" style="275" customWidth="1"/>
    <col min="11270" max="11270" width="9.28515625" style="275" customWidth="1"/>
    <col min="11271" max="11271" width="7.85546875" style="275" customWidth="1"/>
    <col min="11272" max="11272" width="7.7109375" style="275" customWidth="1"/>
    <col min="11273" max="11273" width="9.5703125" style="275" customWidth="1"/>
    <col min="11274" max="11274" width="9" style="275" customWidth="1"/>
    <col min="11275" max="11506" width="10.42578125" style="275" customWidth="1"/>
    <col min="11507" max="11520" width="9.7109375" style="275"/>
    <col min="11521" max="11521" width="26.85546875" style="275" customWidth="1"/>
    <col min="11522" max="11522" width="6.7109375" style="275" customWidth="1"/>
    <col min="11523" max="11523" width="8.28515625" style="275" customWidth="1"/>
    <col min="11524" max="11524" width="7.7109375" style="275" customWidth="1"/>
    <col min="11525" max="11525" width="6.7109375" style="275" customWidth="1"/>
    <col min="11526" max="11526" width="9.28515625" style="275" customWidth="1"/>
    <col min="11527" max="11527" width="7.85546875" style="275" customWidth="1"/>
    <col min="11528" max="11528" width="7.7109375" style="275" customWidth="1"/>
    <col min="11529" max="11529" width="9.5703125" style="275" customWidth="1"/>
    <col min="11530" max="11530" width="9" style="275" customWidth="1"/>
    <col min="11531" max="11762" width="10.42578125" style="275" customWidth="1"/>
    <col min="11763" max="11776" width="9.7109375" style="275"/>
    <col min="11777" max="11777" width="26.85546875" style="275" customWidth="1"/>
    <col min="11778" max="11778" width="6.7109375" style="275" customWidth="1"/>
    <col min="11779" max="11779" width="8.28515625" style="275" customWidth="1"/>
    <col min="11780" max="11780" width="7.7109375" style="275" customWidth="1"/>
    <col min="11781" max="11781" width="6.7109375" style="275" customWidth="1"/>
    <col min="11782" max="11782" width="9.28515625" style="275" customWidth="1"/>
    <col min="11783" max="11783" width="7.85546875" style="275" customWidth="1"/>
    <col min="11784" max="11784" width="7.7109375" style="275" customWidth="1"/>
    <col min="11785" max="11785" width="9.5703125" style="275" customWidth="1"/>
    <col min="11786" max="11786" width="9" style="275" customWidth="1"/>
    <col min="11787" max="12018" width="10.42578125" style="275" customWidth="1"/>
    <col min="12019" max="12032" width="9.7109375" style="275"/>
    <col min="12033" max="12033" width="26.85546875" style="275" customWidth="1"/>
    <col min="12034" max="12034" width="6.7109375" style="275" customWidth="1"/>
    <col min="12035" max="12035" width="8.28515625" style="275" customWidth="1"/>
    <col min="12036" max="12036" width="7.7109375" style="275" customWidth="1"/>
    <col min="12037" max="12037" width="6.7109375" style="275" customWidth="1"/>
    <col min="12038" max="12038" width="9.28515625" style="275" customWidth="1"/>
    <col min="12039" max="12039" width="7.85546875" style="275" customWidth="1"/>
    <col min="12040" max="12040" width="7.7109375" style="275" customWidth="1"/>
    <col min="12041" max="12041" width="9.5703125" style="275" customWidth="1"/>
    <col min="12042" max="12042" width="9" style="275" customWidth="1"/>
    <col min="12043" max="12274" width="10.42578125" style="275" customWidth="1"/>
    <col min="12275" max="12288" width="9.7109375" style="275"/>
    <col min="12289" max="12289" width="26.85546875" style="275" customWidth="1"/>
    <col min="12290" max="12290" width="6.7109375" style="275" customWidth="1"/>
    <col min="12291" max="12291" width="8.28515625" style="275" customWidth="1"/>
    <col min="12292" max="12292" width="7.7109375" style="275" customWidth="1"/>
    <col min="12293" max="12293" width="6.7109375" style="275" customWidth="1"/>
    <col min="12294" max="12294" width="9.28515625" style="275" customWidth="1"/>
    <col min="12295" max="12295" width="7.85546875" style="275" customWidth="1"/>
    <col min="12296" max="12296" width="7.7109375" style="275" customWidth="1"/>
    <col min="12297" max="12297" width="9.5703125" style="275" customWidth="1"/>
    <col min="12298" max="12298" width="9" style="275" customWidth="1"/>
    <col min="12299" max="12530" width="10.42578125" style="275" customWidth="1"/>
    <col min="12531" max="12544" width="9.7109375" style="275"/>
    <col min="12545" max="12545" width="26.85546875" style="275" customWidth="1"/>
    <col min="12546" max="12546" width="6.7109375" style="275" customWidth="1"/>
    <col min="12547" max="12547" width="8.28515625" style="275" customWidth="1"/>
    <col min="12548" max="12548" width="7.7109375" style="275" customWidth="1"/>
    <col min="12549" max="12549" width="6.7109375" style="275" customWidth="1"/>
    <col min="12550" max="12550" width="9.28515625" style="275" customWidth="1"/>
    <col min="12551" max="12551" width="7.85546875" style="275" customWidth="1"/>
    <col min="12552" max="12552" width="7.7109375" style="275" customWidth="1"/>
    <col min="12553" max="12553" width="9.5703125" style="275" customWidth="1"/>
    <col min="12554" max="12554" width="9" style="275" customWidth="1"/>
    <col min="12555" max="12786" width="10.42578125" style="275" customWidth="1"/>
    <col min="12787" max="12800" width="9.7109375" style="275"/>
    <col min="12801" max="12801" width="26.85546875" style="275" customWidth="1"/>
    <col min="12802" max="12802" width="6.7109375" style="275" customWidth="1"/>
    <col min="12803" max="12803" width="8.28515625" style="275" customWidth="1"/>
    <col min="12804" max="12804" width="7.7109375" style="275" customWidth="1"/>
    <col min="12805" max="12805" width="6.7109375" style="275" customWidth="1"/>
    <col min="12806" max="12806" width="9.28515625" style="275" customWidth="1"/>
    <col min="12807" max="12807" width="7.85546875" style="275" customWidth="1"/>
    <col min="12808" max="12808" width="7.7109375" style="275" customWidth="1"/>
    <col min="12809" max="12809" width="9.5703125" style="275" customWidth="1"/>
    <col min="12810" max="12810" width="9" style="275" customWidth="1"/>
    <col min="12811" max="13042" width="10.42578125" style="275" customWidth="1"/>
    <col min="13043" max="13056" width="9.7109375" style="275"/>
    <col min="13057" max="13057" width="26.85546875" style="275" customWidth="1"/>
    <col min="13058" max="13058" width="6.7109375" style="275" customWidth="1"/>
    <col min="13059" max="13059" width="8.28515625" style="275" customWidth="1"/>
    <col min="13060" max="13060" width="7.7109375" style="275" customWidth="1"/>
    <col min="13061" max="13061" width="6.7109375" style="275" customWidth="1"/>
    <col min="13062" max="13062" width="9.28515625" style="275" customWidth="1"/>
    <col min="13063" max="13063" width="7.85546875" style="275" customWidth="1"/>
    <col min="13064" max="13064" width="7.7109375" style="275" customWidth="1"/>
    <col min="13065" max="13065" width="9.5703125" style="275" customWidth="1"/>
    <col min="13066" max="13066" width="9" style="275" customWidth="1"/>
    <col min="13067" max="13298" width="10.42578125" style="275" customWidth="1"/>
    <col min="13299" max="13312" width="9.7109375" style="275"/>
    <col min="13313" max="13313" width="26.85546875" style="275" customWidth="1"/>
    <col min="13314" max="13314" width="6.7109375" style="275" customWidth="1"/>
    <col min="13315" max="13315" width="8.28515625" style="275" customWidth="1"/>
    <col min="13316" max="13316" width="7.7109375" style="275" customWidth="1"/>
    <col min="13317" max="13317" width="6.7109375" style="275" customWidth="1"/>
    <col min="13318" max="13318" width="9.28515625" style="275" customWidth="1"/>
    <col min="13319" max="13319" width="7.85546875" style="275" customWidth="1"/>
    <col min="13320" max="13320" width="7.7109375" style="275" customWidth="1"/>
    <col min="13321" max="13321" width="9.5703125" style="275" customWidth="1"/>
    <col min="13322" max="13322" width="9" style="275" customWidth="1"/>
    <col min="13323" max="13554" width="10.42578125" style="275" customWidth="1"/>
    <col min="13555" max="13568" width="9.7109375" style="275"/>
    <col min="13569" max="13569" width="26.85546875" style="275" customWidth="1"/>
    <col min="13570" max="13570" width="6.7109375" style="275" customWidth="1"/>
    <col min="13571" max="13571" width="8.28515625" style="275" customWidth="1"/>
    <col min="13572" max="13572" width="7.7109375" style="275" customWidth="1"/>
    <col min="13573" max="13573" width="6.7109375" style="275" customWidth="1"/>
    <col min="13574" max="13574" width="9.28515625" style="275" customWidth="1"/>
    <col min="13575" max="13575" width="7.85546875" style="275" customWidth="1"/>
    <col min="13576" max="13576" width="7.7109375" style="275" customWidth="1"/>
    <col min="13577" max="13577" width="9.5703125" style="275" customWidth="1"/>
    <col min="13578" max="13578" width="9" style="275" customWidth="1"/>
    <col min="13579" max="13810" width="10.42578125" style="275" customWidth="1"/>
    <col min="13811" max="13824" width="9.7109375" style="275"/>
    <col min="13825" max="13825" width="26.85546875" style="275" customWidth="1"/>
    <col min="13826" max="13826" width="6.7109375" style="275" customWidth="1"/>
    <col min="13827" max="13827" width="8.28515625" style="275" customWidth="1"/>
    <col min="13828" max="13828" width="7.7109375" style="275" customWidth="1"/>
    <col min="13829" max="13829" width="6.7109375" style="275" customWidth="1"/>
    <col min="13830" max="13830" width="9.28515625" style="275" customWidth="1"/>
    <col min="13831" max="13831" width="7.85546875" style="275" customWidth="1"/>
    <col min="13832" max="13832" width="7.7109375" style="275" customWidth="1"/>
    <col min="13833" max="13833" width="9.5703125" style="275" customWidth="1"/>
    <col min="13834" max="13834" width="9" style="275" customWidth="1"/>
    <col min="13835" max="14066" width="10.42578125" style="275" customWidth="1"/>
    <col min="14067" max="14080" width="9.7109375" style="275"/>
    <col min="14081" max="14081" width="26.85546875" style="275" customWidth="1"/>
    <col min="14082" max="14082" width="6.7109375" style="275" customWidth="1"/>
    <col min="14083" max="14083" width="8.28515625" style="275" customWidth="1"/>
    <col min="14084" max="14084" width="7.7109375" style="275" customWidth="1"/>
    <col min="14085" max="14085" width="6.7109375" style="275" customWidth="1"/>
    <col min="14086" max="14086" width="9.28515625" style="275" customWidth="1"/>
    <col min="14087" max="14087" width="7.85546875" style="275" customWidth="1"/>
    <col min="14088" max="14088" width="7.7109375" style="275" customWidth="1"/>
    <col min="14089" max="14089" width="9.5703125" style="275" customWidth="1"/>
    <col min="14090" max="14090" width="9" style="275" customWidth="1"/>
    <col min="14091" max="14322" width="10.42578125" style="275" customWidth="1"/>
    <col min="14323" max="14336" width="9.7109375" style="275"/>
    <col min="14337" max="14337" width="26.85546875" style="275" customWidth="1"/>
    <col min="14338" max="14338" width="6.7109375" style="275" customWidth="1"/>
    <col min="14339" max="14339" width="8.28515625" style="275" customWidth="1"/>
    <col min="14340" max="14340" width="7.7109375" style="275" customWidth="1"/>
    <col min="14341" max="14341" width="6.7109375" style="275" customWidth="1"/>
    <col min="14342" max="14342" width="9.28515625" style="275" customWidth="1"/>
    <col min="14343" max="14343" width="7.85546875" style="275" customWidth="1"/>
    <col min="14344" max="14344" width="7.7109375" style="275" customWidth="1"/>
    <col min="14345" max="14345" width="9.5703125" style="275" customWidth="1"/>
    <col min="14346" max="14346" width="9" style="275" customWidth="1"/>
    <col min="14347" max="14578" width="10.42578125" style="275" customWidth="1"/>
    <col min="14579" max="14592" width="9.7109375" style="275"/>
    <col min="14593" max="14593" width="26.85546875" style="275" customWidth="1"/>
    <col min="14594" max="14594" width="6.7109375" style="275" customWidth="1"/>
    <col min="14595" max="14595" width="8.28515625" style="275" customWidth="1"/>
    <col min="14596" max="14596" width="7.7109375" style="275" customWidth="1"/>
    <col min="14597" max="14597" width="6.7109375" style="275" customWidth="1"/>
    <col min="14598" max="14598" width="9.28515625" style="275" customWidth="1"/>
    <col min="14599" max="14599" width="7.85546875" style="275" customWidth="1"/>
    <col min="14600" max="14600" width="7.7109375" style="275" customWidth="1"/>
    <col min="14601" max="14601" width="9.5703125" style="275" customWidth="1"/>
    <col min="14602" max="14602" width="9" style="275" customWidth="1"/>
    <col min="14603" max="14834" width="10.42578125" style="275" customWidth="1"/>
    <col min="14835" max="14848" width="9.7109375" style="275"/>
    <col min="14849" max="14849" width="26.85546875" style="275" customWidth="1"/>
    <col min="14850" max="14850" width="6.7109375" style="275" customWidth="1"/>
    <col min="14851" max="14851" width="8.28515625" style="275" customWidth="1"/>
    <col min="14852" max="14852" width="7.7109375" style="275" customWidth="1"/>
    <col min="14853" max="14853" width="6.7109375" style="275" customWidth="1"/>
    <col min="14854" max="14854" width="9.28515625" style="275" customWidth="1"/>
    <col min="14855" max="14855" width="7.85546875" style="275" customWidth="1"/>
    <col min="14856" max="14856" width="7.7109375" style="275" customWidth="1"/>
    <col min="14857" max="14857" width="9.5703125" style="275" customWidth="1"/>
    <col min="14858" max="14858" width="9" style="275" customWidth="1"/>
    <col min="14859" max="15090" width="10.42578125" style="275" customWidth="1"/>
    <col min="15091" max="15104" width="9.7109375" style="275"/>
    <col min="15105" max="15105" width="26.85546875" style="275" customWidth="1"/>
    <col min="15106" max="15106" width="6.7109375" style="275" customWidth="1"/>
    <col min="15107" max="15107" width="8.28515625" style="275" customWidth="1"/>
    <col min="15108" max="15108" width="7.7109375" style="275" customWidth="1"/>
    <col min="15109" max="15109" width="6.7109375" style="275" customWidth="1"/>
    <col min="15110" max="15110" width="9.28515625" style="275" customWidth="1"/>
    <col min="15111" max="15111" width="7.85546875" style="275" customWidth="1"/>
    <col min="15112" max="15112" width="7.7109375" style="275" customWidth="1"/>
    <col min="15113" max="15113" width="9.5703125" style="275" customWidth="1"/>
    <col min="15114" max="15114" width="9" style="275" customWidth="1"/>
    <col min="15115" max="15346" width="10.42578125" style="275" customWidth="1"/>
    <col min="15347" max="15360" width="9.7109375" style="275"/>
    <col min="15361" max="15361" width="26.85546875" style="275" customWidth="1"/>
    <col min="15362" max="15362" width="6.7109375" style="275" customWidth="1"/>
    <col min="15363" max="15363" width="8.28515625" style="275" customWidth="1"/>
    <col min="15364" max="15364" width="7.7109375" style="275" customWidth="1"/>
    <col min="15365" max="15365" width="6.7109375" style="275" customWidth="1"/>
    <col min="15366" max="15366" width="9.28515625" style="275" customWidth="1"/>
    <col min="15367" max="15367" width="7.85546875" style="275" customWidth="1"/>
    <col min="15368" max="15368" width="7.7109375" style="275" customWidth="1"/>
    <col min="15369" max="15369" width="9.5703125" style="275" customWidth="1"/>
    <col min="15370" max="15370" width="9" style="275" customWidth="1"/>
    <col min="15371" max="15602" width="10.42578125" style="275" customWidth="1"/>
    <col min="15603" max="15616" width="9.7109375" style="275"/>
    <col min="15617" max="15617" width="26.85546875" style="275" customWidth="1"/>
    <col min="15618" max="15618" width="6.7109375" style="275" customWidth="1"/>
    <col min="15619" max="15619" width="8.28515625" style="275" customWidth="1"/>
    <col min="15620" max="15620" width="7.7109375" style="275" customWidth="1"/>
    <col min="15621" max="15621" width="6.7109375" style="275" customWidth="1"/>
    <col min="15622" max="15622" width="9.28515625" style="275" customWidth="1"/>
    <col min="15623" max="15623" width="7.85546875" style="275" customWidth="1"/>
    <col min="15624" max="15624" width="7.7109375" style="275" customWidth="1"/>
    <col min="15625" max="15625" width="9.5703125" style="275" customWidth="1"/>
    <col min="15626" max="15626" width="9" style="275" customWidth="1"/>
    <col min="15627" max="15858" width="10.42578125" style="275" customWidth="1"/>
    <col min="15859" max="15872" width="9.7109375" style="275"/>
    <col min="15873" max="15873" width="26.85546875" style="275" customWidth="1"/>
    <col min="15874" max="15874" width="6.7109375" style="275" customWidth="1"/>
    <col min="15875" max="15875" width="8.28515625" style="275" customWidth="1"/>
    <col min="15876" max="15876" width="7.7109375" style="275" customWidth="1"/>
    <col min="15877" max="15877" width="6.7109375" style="275" customWidth="1"/>
    <col min="15878" max="15878" width="9.28515625" style="275" customWidth="1"/>
    <col min="15879" max="15879" width="7.85546875" style="275" customWidth="1"/>
    <col min="15880" max="15880" width="7.7109375" style="275" customWidth="1"/>
    <col min="15881" max="15881" width="9.5703125" style="275" customWidth="1"/>
    <col min="15882" max="15882" width="9" style="275" customWidth="1"/>
    <col min="15883" max="16114" width="10.42578125" style="275" customWidth="1"/>
    <col min="16115" max="16128" width="9.7109375" style="275"/>
    <col min="16129" max="16129" width="26.85546875" style="275" customWidth="1"/>
    <col min="16130" max="16130" width="6.7109375" style="275" customWidth="1"/>
    <col min="16131" max="16131" width="8.28515625" style="275" customWidth="1"/>
    <col min="16132" max="16132" width="7.7109375" style="275" customWidth="1"/>
    <col min="16133" max="16133" width="6.7109375" style="275" customWidth="1"/>
    <col min="16134" max="16134" width="9.28515625" style="275" customWidth="1"/>
    <col min="16135" max="16135" width="7.85546875" style="275" customWidth="1"/>
    <col min="16136" max="16136" width="7.7109375" style="275" customWidth="1"/>
    <col min="16137" max="16137" width="9.5703125" style="275" customWidth="1"/>
    <col min="16138" max="16138" width="9" style="275" customWidth="1"/>
    <col min="16139" max="16370" width="10.42578125" style="275" customWidth="1"/>
    <col min="16371" max="16384" width="9.7109375" style="275"/>
  </cols>
  <sheetData>
    <row r="2" spans="1:16" ht="15" customHeight="1">
      <c r="A2" s="503" t="s">
        <v>326</v>
      </c>
      <c r="B2" s="503"/>
      <c r="C2" s="503"/>
      <c r="D2" s="503"/>
      <c r="E2" s="503"/>
      <c r="F2" s="503"/>
      <c r="G2" s="503"/>
      <c r="H2" s="503"/>
      <c r="I2" s="503"/>
      <c r="J2" s="503"/>
    </row>
    <row r="3" spans="1:16" s="278" customFormat="1" ht="15.75" customHeight="1">
      <c r="A3" s="504" t="s">
        <v>251</v>
      </c>
      <c r="B3" s="505"/>
      <c r="C3" s="505"/>
      <c r="D3" s="505"/>
      <c r="E3" s="505"/>
      <c r="F3" s="505"/>
      <c r="G3" s="505"/>
      <c r="H3" s="505"/>
      <c r="I3" s="505"/>
      <c r="J3" s="505"/>
      <c r="K3" s="276"/>
      <c r="L3" s="277"/>
      <c r="M3" s="277"/>
      <c r="N3" s="277"/>
      <c r="O3" s="277"/>
      <c r="P3" s="277"/>
    </row>
    <row r="4" spans="1:16" ht="15" customHeight="1">
      <c r="A4" s="478" t="s">
        <v>286</v>
      </c>
      <c r="B4" s="497" t="s">
        <v>287</v>
      </c>
      <c r="C4" s="497" t="s">
        <v>331</v>
      </c>
      <c r="D4" s="497" t="s">
        <v>332</v>
      </c>
      <c r="E4" s="499" t="s">
        <v>327</v>
      </c>
      <c r="F4" s="497" t="s">
        <v>288</v>
      </c>
      <c r="G4" s="508" t="s">
        <v>335</v>
      </c>
      <c r="H4" s="497" t="s">
        <v>333</v>
      </c>
      <c r="I4" s="497" t="s">
        <v>294</v>
      </c>
      <c r="J4" s="499" t="s">
        <v>334</v>
      </c>
      <c r="K4" s="279"/>
      <c r="L4" s="275"/>
      <c r="M4" s="275"/>
      <c r="N4" s="275"/>
      <c r="O4" s="275"/>
      <c r="P4" s="275"/>
    </row>
    <row r="5" spans="1:16" ht="12" customHeight="1">
      <c r="A5" s="506"/>
      <c r="B5" s="498"/>
      <c r="C5" s="498"/>
      <c r="D5" s="498"/>
      <c r="E5" s="500"/>
      <c r="F5" s="498"/>
      <c r="G5" s="509"/>
      <c r="H5" s="498"/>
      <c r="I5" s="498"/>
      <c r="J5" s="500"/>
      <c r="K5" s="279"/>
      <c r="L5" s="275"/>
      <c r="M5" s="275"/>
      <c r="N5" s="275"/>
      <c r="O5" s="275"/>
      <c r="P5" s="275"/>
    </row>
    <row r="6" spans="1:16" ht="81.75" customHeight="1">
      <c r="A6" s="506"/>
      <c r="B6" s="507"/>
      <c r="C6" s="498"/>
      <c r="D6" s="498"/>
      <c r="E6" s="500"/>
      <c r="F6" s="507"/>
      <c r="G6" s="509"/>
      <c r="H6" s="498"/>
      <c r="I6" s="498"/>
      <c r="J6" s="500"/>
      <c r="K6" s="279"/>
      <c r="L6" s="275"/>
      <c r="M6" s="275"/>
      <c r="N6" s="275"/>
      <c r="O6" s="275"/>
      <c r="P6" s="275"/>
    </row>
    <row r="7" spans="1:16" ht="14.25" customHeight="1" thickBot="1">
      <c r="A7" s="506"/>
      <c r="B7" s="501" t="s">
        <v>289</v>
      </c>
      <c r="C7" s="502"/>
      <c r="D7" s="502"/>
      <c r="E7" s="502"/>
      <c r="F7" s="502"/>
      <c r="G7" s="502"/>
      <c r="H7" s="502"/>
      <c r="I7" s="502"/>
      <c r="J7" s="502"/>
      <c r="K7" s="279"/>
      <c r="L7" s="275"/>
      <c r="M7" s="275"/>
      <c r="N7" s="275"/>
      <c r="O7" s="275"/>
      <c r="P7" s="275"/>
    </row>
    <row r="8" spans="1:16" s="285" customFormat="1" ht="21.75" customHeight="1">
      <c r="A8" s="280" t="s">
        <v>23</v>
      </c>
      <c r="B8" s="281">
        <v>100</v>
      </c>
      <c r="C8" s="282">
        <v>46</v>
      </c>
      <c r="D8" s="283">
        <v>2.1</v>
      </c>
      <c r="E8" s="282">
        <v>14.5</v>
      </c>
      <c r="F8" s="283">
        <v>7.7</v>
      </c>
      <c r="G8" s="282">
        <v>11.4</v>
      </c>
      <c r="H8" s="283">
        <v>10.5</v>
      </c>
      <c r="I8" s="282">
        <v>7</v>
      </c>
      <c r="J8" s="283">
        <v>0.8</v>
      </c>
      <c r="K8" s="284"/>
    </row>
    <row r="9" spans="1:16" s="289" customFormat="1" ht="12.75" customHeight="1">
      <c r="A9" s="286" t="s">
        <v>24</v>
      </c>
      <c r="B9" s="44"/>
      <c r="C9" s="44"/>
      <c r="D9" s="287"/>
      <c r="E9" s="44"/>
      <c r="F9" s="287"/>
      <c r="G9" s="44"/>
      <c r="H9" s="287"/>
      <c r="I9" s="44"/>
      <c r="J9" s="287"/>
      <c r="K9" s="288"/>
    </row>
    <row r="10" spans="1:16" s="278" customFormat="1">
      <c r="A10" s="290" t="s">
        <v>54</v>
      </c>
      <c r="B10" s="44">
        <v>100</v>
      </c>
      <c r="C10" s="291">
        <v>42.2</v>
      </c>
      <c r="D10" s="287">
        <v>0.2</v>
      </c>
      <c r="E10" s="44">
        <v>16.5</v>
      </c>
      <c r="F10" s="287">
        <v>11</v>
      </c>
      <c r="G10" s="44">
        <v>9.6</v>
      </c>
      <c r="H10" s="287">
        <v>7.6</v>
      </c>
      <c r="I10" s="44">
        <v>9</v>
      </c>
      <c r="J10" s="292">
        <v>3.9</v>
      </c>
      <c r="K10" s="293"/>
    </row>
    <row r="11" spans="1:16" s="278" customFormat="1">
      <c r="A11" s="294" t="s">
        <v>55</v>
      </c>
      <c r="B11" s="44"/>
      <c r="C11" s="44"/>
      <c r="D11" s="287"/>
      <c r="E11" s="44"/>
      <c r="F11" s="287"/>
      <c r="G11" s="44"/>
      <c r="H11" s="287"/>
      <c r="I11" s="44"/>
      <c r="J11" s="287"/>
      <c r="K11" s="293"/>
    </row>
    <row r="12" spans="1:16">
      <c r="A12" s="290" t="s">
        <v>9</v>
      </c>
      <c r="B12" s="44">
        <v>100</v>
      </c>
      <c r="C12" s="44">
        <v>46.1</v>
      </c>
      <c r="D12" s="287">
        <v>2.2000000000000002</v>
      </c>
      <c r="E12" s="44">
        <v>14.5</v>
      </c>
      <c r="F12" s="287">
        <v>7.6</v>
      </c>
      <c r="G12" s="44">
        <v>11.4</v>
      </c>
      <c r="H12" s="287">
        <v>10.6</v>
      </c>
      <c r="I12" s="44">
        <v>7</v>
      </c>
      <c r="J12" s="292">
        <v>0.6</v>
      </c>
      <c r="K12" s="279"/>
      <c r="L12" s="275"/>
      <c r="M12" s="275"/>
      <c r="N12" s="275"/>
      <c r="O12" s="275"/>
      <c r="P12" s="275"/>
    </row>
    <row r="13" spans="1:16" s="289" customFormat="1">
      <c r="A13" s="294" t="s">
        <v>56</v>
      </c>
      <c r="B13" s="44"/>
      <c r="C13" s="44"/>
      <c r="D13" s="287"/>
      <c r="E13" s="44"/>
      <c r="F13" s="287"/>
      <c r="G13" s="44"/>
      <c r="H13" s="287"/>
      <c r="I13" s="44"/>
      <c r="J13" s="287"/>
      <c r="K13" s="288"/>
    </row>
    <row r="14" spans="1:16" s="289" customFormat="1" ht="12.75" customHeight="1">
      <c r="A14" s="286"/>
      <c r="B14" s="44"/>
      <c r="C14" s="44"/>
      <c r="D14" s="287"/>
      <c r="E14" s="44"/>
      <c r="F14" s="287"/>
      <c r="G14" s="44"/>
      <c r="H14" s="287"/>
      <c r="I14" s="44"/>
      <c r="J14" s="287"/>
      <c r="K14" s="288"/>
    </row>
    <row r="15" spans="1:16" s="297" customFormat="1" ht="13.15" customHeight="1">
      <c r="A15" s="295" t="s">
        <v>174</v>
      </c>
      <c r="B15" s="44">
        <v>100</v>
      </c>
      <c r="C15" s="291">
        <v>42</v>
      </c>
      <c r="D15" s="296">
        <v>1.9</v>
      </c>
      <c r="E15" s="291">
        <v>14.4</v>
      </c>
      <c r="F15" s="296">
        <v>6.3</v>
      </c>
      <c r="G15" s="291">
        <v>16.8</v>
      </c>
      <c r="H15" s="296">
        <v>10.1</v>
      </c>
      <c r="I15" s="291">
        <v>7.5</v>
      </c>
      <c r="J15" s="296">
        <v>1</v>
      </c>
      <c r="K15" s="197"/>
    </row>
    <row r="16" spans="1:16">
      <c r="A16" s="298" t="s">
        <v>25</v>
      </c>
      <c r="B16" s="44"/>
      <c r="C16" s="44"/>
      <c r="D16" s="287"/>
      <c r="E16" s="44"/>
      <c r="F16" s="287"/>
      <c r="G16" s="44"/>
      <c r="H16" s="287"/>
      <c r="I16" s="44"/>
      <c r="J16" s="287"/>
      <c r="K16" s="279"/>
      <c r="L16" s="275"/>
      <c r="M16" s="275"/>
      <c r="N16" s="275"/>
      <c r="O16" s="275"/>
      <c r="P16" s="275"/>
    </row>
    <row r="17" spans="1:16" ht="13.5" customHeight="1">
      <c r="A17" s="295" t="s">
        <v>177</v>
      </c>
      <c r="B17" s="44">
        <v>100</v>
      </c>
      <c r="C17" s="291">
        <v>48</v>
      </c>
      <c r="D17" s="296">
        <v>2.2999999999999998</v>
      </c>
      <c r="E17" s="291">
        <v>12.2</v>
      </c>
      <c r="F17" s="296">
        <v>9.5</v>
      </c>
      <c r="G17" s="291">
        <v>8.9</v>
      </c>
      <c r="H17" s="296">
        <v>11.7</v>
      </c>
      <c r="I17" s="291">
        <v>6.7</v>
      </c>
      <c r="J17" s="296">
        <v>0.7</v>
      </c>
      <c r="K17" s="284"/>
      <c r="L17" s="275"/>
      <c r="M17" s="275"/>
      <c r="N17" s="275"/>
      <c r="O17" s="275"/>
      <c r="P17" s="275"/>
    </row>
    <row r="18" spans="1:16">
      <c r="A18" s="20" t="s">
        <v>72</v>
      </c>
      <c r="B18" s="44"/>
      <c r="C18" s="44"/>
      <c r="D18" s="287"/>
      <c r="E18" s="44"/>
      <c r="F18" s="287"/>
      <c r="G18" s="44"/>
      <c r="H18" s="287"/>
      <c r="I18" s="44"/>
      <c r="J18" s="287"/>
      <c r="K18" s="284"/>
      <c r="L18" s="275"/>
      <c r="M18" s="275"/>
      <c r="N18" s="275"/>
      <c r="O18" s="275"/>
      <c r="P18" s="275"/>
    </row>
    <row r="19" spans="1:16" s="297" customFormat="1">
      <c r="A19" s="19" t="s">
        <v>73</v>
      </c>
      <c r="B19" s="44">
        <v>100</v>
      </c>
      <c r="C19" s="291">
        <v>46</v>
      </c>
      <c r="D19" s="296">
        <v>1.9</v>
      </c>
      <c r="E19" s="291">
        <v>19.7</v>
      </c>
      <c r="F19" s="296">
        <v>5.5</v>
      </c>
      <c r="G19" s="291">
        <v>10.6</v>
      </c>
      <c r="H19" s="296">
        <v>8.4</v>
      </c>
      <c r="I19" s="291">
        <v>7.4</v>
      </c>
      <c r="J19" s="296">
        <v>0.5</v>
      </c>
      <c r="K19" s="299"/>
    </row>
    <row r="20" spans="1:16" ht="13.9" customHeight="1">
      <c r="A20" s="40" t="s">
        <v>51</v>
      </c>
      <c r="B20" s="44"/>
      <c r="C20" s="44"/>
      <c r="D20" s="287"/>
      <c r="E20" s="44"/>
      <c r="F20" s="287"/>
      <c r="G20" s="44"/>
      <c r="H20" s="287"/>
      <c r="I20" s="44"/>
      <c r="J20" s="287"/>
      <c r="K20" s="279"/>
      <c r="L20" s="275"/>
      <c r="M20" s="275"/>
      <c r="N20" s="275"/>
      <c r="O20" s="275"/>
      <c r="P20" s="275"/>
    </row>
    <row r="21" spans="1:16" ht="13.9" customHeight="1">
      <c r="A21" s="40"/>
      <c r="B21" s="44"/>
      <c r="C21" s="44"/>
      <c r="D21" s="287"/>
      <c r="E21" s="44"/>
      <c r="F21" s="287"/>
      <c r="G21" s="44"/>
      <c r="H21" s="287"/>
      <c r="I21" s="44"/>
      <c r="J21" s="287"/>
      <c r="K21" s="279"/>
      <c r="L21" s="275"/>
      <c r="M21" s="275"/>
      <c r="N21" s="275"/>
      <c r="O21" s="275"/>
      <c r="P21" s="275"/>
    </row>
    <row r="26" spans="1:16">
      <c r="A26" s="297"/>
      <c r="B26" s="300"/>
      <c r="C26" s="189"/>
      <c r="D26" s="189"/>
      <c r="E26" s="274"/>
      <c r="F26" s="189"/>
      <c r="G26" s="189"/>
      <c r="H26" s="189"/>
      <c r="I26" s="189"/>
      <c r="J26" s="189"/>
    </row>
    <row r="27" spans="1:16">
      <c r="B27" s="300"/>
      <c r="C27" s="189"/>
      <c r="D27" s="189"/>
      <c r="E27" s="274"/>
      <c r="F27" s="189"/>
      <c r="G27" s="189"/>
      <c r="H27" s="189"/>
      <c r="I27" s="189"/>
      <c r="J27" s="189"/>
    </row>
    <row r="28" spans="1:16">
      <c r="A28" s="189"/>
      <c r="B28" s="300"/>
      <c r="C28" s="189"/>
      <c r="D28" s="189"/>
      <c r="E28" s="274"/>
      <c r="F28" s="189"/>
      <c r="G28" s="189"/>
      <c r="H28" s="189"/>
      <c r="I28" s="189"/>
      <c r="J28" s="189"/>
    </row>
    <row r="29" spans="1:16">
      <c r="A29" s="189"/>
      <c r="B29" s="300"/>
      <c r="C29" s="189"/>
      <c r="D29" s="189"/>
      <c r="E29" s="274"/>
      <c r="F29" s="189"/>
      <c r="G29" s="189"/>
      <c r="H29" s="189"/>
      <c r="I29" s="189"/>
      <c r="J29" s="189"/>
    </row>
    <row r="30" spans="1:16">
      <c r="A30" s="189"/>
      <c r="B30" s="300"/>
      <c r="C30" s="189"/>
      <c r="D30" s="189"/>
      <c r="E30" s="274"/>
      <c r="F30" s="189"/>
      <c r="G30" s="189"/>
      <c r="H30" s="189"/>
      <c r="I30" s="189"/>
      <c r="J30" s="189"/>
    </row>
    <row r="31" spans="1:16">
      <c r="A31" s="189"/>
      <c r="B31" s="300"/>
      <c r="C31" s="189"/>
      <c r="D31" s="189"/>
      <c r="E31" s="274"/>
      <c r="F31" s="189"/>
      <c r="G31" s="189"/>
      <c r="H31" s="189"/>
      <c r="I31" s="189"/>
      <c r="J31" s="189"/>
    </row>
    <row r="32" spans="1:16">
      <c r="A32" s="189"/>
      <c r="B32" s="300"/>
      <c r="C32" s="189"/>
      <c r="D32" s="189"/>
      <c r="E32" s="274"/>
      <c r="F32" s="189"/>
      <c r="G32" s="189"/>
      <c r="H32" s="189"/>
      <c r="I32" s="189"/>
      <c r="J32" s="189"/>
    </row>
    <row r="33" spans="1:10">
      <c r="A33" s="189"/>
      <c r="B33" s="300"/>
      <c r="C33" s="189"/>
      <c r="D33" s="189"/>
      <c r="E33" s="274"/>
      <c r="F33" s="189"/>
      <c r="G33" s="189"/>
      <c r="H33" s="189"/>
      <c r="I33" s="189"/>
      <c r="J33" s="189"/>
    </row>
    <row r="34" spans="1:10">
      <c r="A34" s="189"/>
      <c r="B34" s="300"/>
      <c r="C34" s="189"/>
      <c r="D34" s="189"/>
      <c r="E34" s="274"/>
      <c r="F34" s="189"/>
      <c r="G34" s="189"/>
      <c r="H34" s="189"/>
      <c r="I34" s="189"/>
      <c r="J34" s="189"/>
    </row>
    <row r="35" spans="1:10">
      <c r="A35" s="189"/>
      <c r="B35" s="300"/>
      <c r="C35" s="189"/>
      <c r="D35" s="189"/>
      <c r="E35" s="274"/>
      <c r="F35" s="189"/>
      <c r="G35" s="189"/>
      <c r="H35" s="189"/>
      <c r="I35" s="189"/>
      <c r="J35" s="189"/>
    </row>
    <row r="36" spans="1:10">
      <c r="A36" s="189"/>
      <c r="B36" s="300"/>
      <c r="C36" s="189"/>
      <c r="D36" s="189"/>
      <c r="E36" s="274"/>
      <c r="F36" s="189"/>
      <c r="G36" s="189"/>
      <c r="H36" s="189"/>
      <c r="I36" s="189"/>
      <c r="J36" s="189"/>
    </row>
    <row r="37" spans="1:10">
      <c r="A37" s="189"/>
      <c r="B37" s="300"/>
      <c r="C37" s="189"/>
      <c r="D37" s="189"/>
      <c r="E37" s="274"/>
      <c r="F37" s="189"/>
      <c r="G37" s="189"/>
      <c r="H37" s="189"/>
      <c r="I37" s="189"/>
      <c r="J37" s="189"/>
    </row>
    <row r="38" spans="1:10">
      <c r="A38" s="189"/>
      <c r="B38" s="300"/>
      <c r="C38" s="189"/>
      <c r="D38" s="189"/>
      <c r="E38" s="274"/>
      <c r="F38" s="189"/>
      <c r="G38" s="189"/>
      <c r="H38" s="189"/>
      <c r="I38" s="189"/>
      <c r="J38" s="189"/>
    </row>
    <row r="39" spans="1:10">
      <c r="A39" s="189"/>
      <c r="B39" s="300"/>
      <c r="C39" s="189"/>
      <c r="D39" s="189"/>
      <c r="E39" s="274"/>
      <c r="F39" s="189"/>
      <c r="G39" s="189"/>
      <c r="H39" s="189"/>
      <c r="I39" s="189"/>
      <c r="J39" s="189"/>
    </row>
    <row r="40" spans="1:10">
      <c r="A40" s="189"/>
      <c r="B40" s="300"/>
      <c r="C40" s="189"/>
      <c r="D40" s="189"/>
      <c r="E40" s="274"/>
      <c r="F40" s="189"/>
      <c r="G40" s="189"/>
      <c r="H40" s="189"/>
      <c r="I40" s="189"/>
      <c r="J40" s="189"/>
    </row>
    <row r="41" spans="1:10">
      <c r="A41" s="189"/>
      <c r="J41" s="302"/>
    </row>
    <row r="42" spans="1:10">
      <c r="J42" s="302"/>
    </row>
    <row r="43" spans="1:10">
      <c r="J43" s="302"/>
    </row>
    <row r="44" spans="1:10">
      <c r="J44" s="302"/>
    </row>
    <row r="45" spans="1:10">
      <c r="J45" s="302"/>
    </row>
    <row r="46" spans="1:10">
      <c r="J46" s="302"/>
    </row>
    <row r="47" spans="1:10">
      <c r="J47" s="302"/>
    </row>
    <row r="48" spans="1:10">
      <c r="J48" s="302"/>
    </row>
    <row r="49" spans="10:10">
      <c r="J49" s="302"/>
    </row>
    <row r="50" spans="10:10">
      <c r="J50" s="302"/>
    </row>
    <row r="51" spans="10:10">
      <c r="J51" s="302"/>
    </row>
    <row r="52" spans="10:10">
      <c r="J52" s="302"/>
    </row>
    <row r="53" spans="10:10">
      <c r="J53" s="302"/>
    </row>
  </sheetData>
  <mergeCells count="13">
    <mergeCell ref="I4:I6"/>
    <mergeCell ref="J4:J6"/>
    <mergeCell ref="B7:J7"/>
    <mergeCell ref="A2:J2"/>
    <mergeCell ref="A3:J3"/>
    <mergeCell ref="A4:A7"/>
    <mergeCell ref="B4:B6"/>
    <mergeCell ref="C4:C6"/>
    <mergeCell ref="D4:D6"/>
    <mergeCell ref="E4:E6"/>
    <mergeCell ref="F4:F6"/>
    <mergeCell ref="G4:G6"/>
    <mergeCell ref="H4:H6"/>
  </mergeCells>
  <pageMargins left="0.7" right="0.7" top="0.75" bottom="0.75" header="0.3" footer="0.3"/>
  <pageSetup paperSize="9" scale="6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3"/>
  <sheetViews>
    <sheetView zoomScaleNormal="100" workbookViewId="0">
      <pane ySplit="5" topLeftCell="A6" activePane="bottomLeft" state="frozen"/>
      <selection pane="bottomLeft"/>
    </sheetView>
  </sheetViews>
  <sheetFormatPr defaultColWidth="8.28515625" defaultRowHeight="12.75"/>
  <cols>
    <col min="1" max="1" width="28" style="318" bestFit="1" customWidth="1"/>
    <col min="2" max="2" width="22" style="319" customWidth="1"/>
    <col min="3" max="3" width="19.7109375" style="320" customWidth="1"/>
    <col min="4" max="4" width="25" style="321" customWidth="1"/>
    <col min="5" max="5" width="14.28515625" style="2" customWidth="1"/>
    <col min="6" max="6" width="15.7109375" style="2" customWidth="1"/>
    <col min="7" max="256" width="8.28515625" style="2"/>
    <col min="257" max="257" width="26.28515625" style="2" customWidth="1"/>
    <col min="258" max="258" width="22" style="2" customWidth="1"/>
    <col min="259" max="259" width="19.7109375" style="2" customWidth="1"/>
    <col min="260" max="260" width="21.7109375" style="2" customWidth="1"/>
    <col min="261" max="261" width="14.28515625" style="2" customWidth="1"/>
    <col min="262" max="262" width="15.7109375" style="2" customWidth="1"/>
    <col min="263" max="512" width="8.28515625" style="2"/>
    <col min="513" max="513" width="26.28515625" style="2" customWidth="1"/>
    <col min="514" max="514" width="22" style="2" customWidth="1"/>
    <col min="515" max="515" width="19.7109375" style="2" customWidth="1"/>
    <col min="516" max="516" width="21.7109375" style="2" customWidth="1"/>
    <col min="517" max="517" width="14.28515625" style="2" customWidth="1"/>
    <col min="518" max="518" width="15.7109375" style="2" customWidth="1"/>
    <col min="519" max="768" width="8.28515625" style="2"/>
    <col min="769" max="769" width="26.28515625" style="2" customWidth="1"/>
    <col min="770" max="770" width="22" style="2" customWidth="1"/>
    <col min="771" max="771" width="19.7109375" style="2" customWidth="1"/>
    <col min="772" max="772" width="21.7109375" style="2" customWidth="1"/>
    <col min="773" max="773" width="14.28515625" style="2" customWidth="1"/>
    <col min="774" max="774" width="15.7109375" style="2" customWidth="1"/>
    <col min="775" max="1024" width="8.28515625" style="2"/>
    <col min="1025" max="1025" width="26.28515625" style="2" customWidth="1"/>
    <col min="1026" max="1026" width="22" style="2" customWidth="1"/>
    <col min="1027" max="1027" width="19.7109375" style="2" customWidth="1"/>
    <col min="1028" max="1028" width="21.7109375" style="2" customWidth="1"/>
    <col min="1029" max="1029" width="14.28515625" style="2" customWidth="1"/>
    <col min="1030" max="1030" width="15.7109375" style="2" customWidth="1"/>
    <col min="1031" max="1280" width="8.28515625" style="2"/>
    <col min="1281" max="1281" width="26.28515625" style="2" customWidth="1"/>
    <col min="1282" max="1282" width="22" style="2" customWidth="1"/>
    <col min="1283" max="1283" width="19.7109375" style="2" customWidth="1"/>
    <col min="1284" max="1284" width="21.7109375" style="2" customWidth="1"/>
    <col min="1285" max="1285" width="14.28515625" style="2" customWidth="1"/>
    <col min="1286" max="1286" width="15.7109375" style="2" customWidth="1"/>
    <col min="1287" max="1536" width="8.28515625" style="2"/>
    <col min="1537" max="1537" width="26.28515625" style="2" customWidth="1"/>
    <col min="1538" max="1538" width="22" style="2" customWidth="1"/>
    <col min="1539" max="1539" width="19.7109375" style="2" customWidth="1"/>
    <col min="1540" max="1540" width="21.7109375" style="2" customWidth="1"/>
    <col min="1541" max="1541" width="14.28515625" style="2" customWidth="1"/>
    <col min="1542" max="1542" width="15.7109375" style="2" customWidth="1"/>
    <col min="1543" max="1792" width="8.28515625" style="2"/>
    <col min="1793" max="1793" width="26.28515625" style="2" customWidth="1"/>
    <col min="1794" max="1794" width="22" style="2" customWidth="1"/>
    <col min="1795" max="1795" width="19.7109375" style="2" customWidth="1"/>
    <col min="1796" max="1796" width="21.7109375" style="2" customWidth="1"/>
    <col min="1797" max="1797" width="14.28515625" style="2" customWidth="1"/>
    <col min="1798" max="1798" width="15.7109375" style="2" customWidth="1"/>
    <col min="1799" max="2048" width="8.28515625" style="2"/>
    <col min="2049" max="2049" width="26.28515625" style="2" customWidth="1"/>
    <col min="2050" max="2050" width="22" style="2" customWidth="1"/>
    <col min="2051" max="2051" width="19.7109375" style="2" customWidth="1"/>
    <col min="2052" max="2052" width="21.7109375" style="2" customWidth="1"/>
    <col min="2053" max="2053" width="14.28515625" style="2" customWidth="1"/>
    <col min="2054" max="2054" width="15.7109375" style="2" customWidth="1"/>
    <col min="2055" max="2304" width="8.28515625" style="2"/>
    <col min="2305" max="2305" width="26.28515625" style="2" customWidth="1"/>
    <col min="2306" max="2306" width="22" style="2" customWidth="1"/>
    <col min="2307" max="2307" width="19.7109375" style="2" customWidth="1"/>
    <col min="2308" max="2308" width="21.7109375" style="2" customWidth="1"/>
    <col min="2309" max="2309" width="14.28515625" style="2" customWidth="1"/>
    <col min="2310" max="2310" width="15.7109375" style="2" customWidth="1"/>
    <col min="2311" max="2560" width="8.28515625" style="2"/>
    <col min="2561" max="2561" width="26.28515625" style="2" customWidth="1"/>
    <col min="2562" max="2562" width="22" style="2" customWidth="1"/>
    <col min="2563" max="2563" width="19.7109375" style="2" customWidth="1"/>
    <col min="2564" max="2564" width="21.7109375" style="2" customWidth="1"/>
    <col min="2565" max="2565" width="14.28515625" style="2" customWidth="1"/>
    <col min="2566" max="2566" width="15.7109375" style="2" customWidth="1"/>
    <col min="2567" max="2816" width="8.28515625" style="2"/>
    <col min="2817" max="2817" width="26.28515625" style="2" customWidth="1"/>
    <col min="2818" max="2818" width="22" style="2" customWidth="1"/>
    <col min="2819" max="2819" width="19.7109375" style="2" customWidth="1"/>
    <col min="2820" max="2820" width="21.7109375" style="2" customWidth="1"/>
    <col min="2821" max="2821" width="14.28515625" style="2" customWidth="1"/>
    <col min="2822" max="2822" width="15.7109375" style="2" customWidth="1"/>
    <col min="2823" max="3072" width="8.28515625" style="2"/>
    <col min="3073" max="3073" width="26.28515625" style="2" customWidth="1"/>
    <col min="3074" max="3074" width="22" style="2" customWidth="1"/>
    <col min="3075" max="3075" width="19.7109375" style="2" customWidth="1"/>
    <col min="3076" max="3076" width="21.7109375" style="2" customWidth="1"/>
    <col min="3077" max="3077" width="14.28515625" style="2" customWidth="1"/>
    <col min="3078" max="3078" width="15.7109375" style="2" customWidth="1"/>
    <col min="3079" max="3328" width="8.28515625" style="2"/>
    <col min="3329" max="3329" width="26.28515625" style="2" customWidth="1"/>
    <col min="3330" max="3330" width="22" style="2" customWidth="1"/>
    <col min="3331" max="3331" width="19.7109375" style="2" customWidth="1"/>
    <col min="3332" max="3332" width="21.7109375" style="2" customWidth="1"/>
    <col min="3333" max="3333" width="14.28515625" style="2" customWidth="1"/>
    <col min="3334" max="3334" width="15.7109375" style="2" customWidth="1"/>
    <col min="3335" max="3584" width="8.28515625" style="2"/>
    <col min="3585" max="3585" width="26.28515625" style="2" customWidth="1"/>
    <col min="3586" max="3586" width="22" style="2" customWidth="1"/>
    <col min="3587" max="3587" width="19.7109375" style="2" customWidth="1"/>
    <col min="3588" max="3588" width="21.7109375" style="2" customWidth="1"/>
    <col min="3589" max="3589" width="14.28515625" style="2" customWidth="1"/>
    <col min="3590" max="3590" width="15.7109375" style="2" customWidth="1"/>
    <col min="3591" max="3840" width="8.28515625" style="2"/>
    <col min="3841" max="3841" width="26.28515625" style="2" customWidth="1"/>
    <col min="3842" max="3842" width="22" style="2" customWidth="1"/>
    <col min="3843" max="3843" width="19.7109375" style="2" customWidth="1"/>
    <col min="3844" max="3844" width="21.7109375" style="2" customWidth="1"/>
    <col min="3845" max="3845" width="14.28515625" style="2" customWidth="1"/>
    <col min="3846" max="3846" width="15.7109375" style="2" customWidth="1"/>
    <col min="3847" max="4096" width="8.28515625" style="2"/>
    <col min="4097" max="4097" width="26.28515625" style="2" customWidth="1"/>
    <col min="4098" max="4098" width="22" style="2" customWidth="1"/>
    <col min="4099" max="4099" width="19.7109375" style="2" customWidth="1"/>
    <col min="4100" max="4100" width="21.7109375" style="2" customWidth="1"/>
    <col min="4101" max="4101" width="14.28515625" style="2" customWidth="1"/>
    <col min="4102" max="4102" width="15.7109375" style="2" customWidth="1"/>
    <col min="4103" max="4352" width="8.28515625" style="2"/>
    <col min="4353" max="4353" width="26.28515625" style="2" customWidth="1"/>
    <col min="4354" max="4354" width="22" style="2" customWidth="1"/>
    <col min="4355" max="4355" width="19.7109375" style="2" customWidth="1"/>
    <col min="4356" max="4356" width="21.7109375" style="2" customWidth="1"/>
    <col min="4357" max="4357" width="14.28515625" style="2" customWidth="1"/>
    <col min="4358" max="4358" width="15.7109375" style="2" customWidth="1"/>
    <col min="4359" max="4608" width="8.28515625" style="2"/>
    <col min="4609" max="4609" width="26.28515625" style="2" customWidth="1"/>
    <col min="4610" max="4610" width="22" style="2" customWidth="1"/>
    <col min="4611" max="4611" width="19.7109375" style="2" customWidth="1"/>
    <col min="4612" max="4612" width="21.7109375" style="2" customWidth="1"/>
    <col min="4613" max="4613" width="14.28515625" style="2" customWidth="1"/>
    <col min="4614" max="4614" width="15.7109375" style="2" customWidth="1"/>
    <col min="4615" max="4864" width="8.28515625" style="2"/>
    <col min="4865" max="4865" width="26.28515625" style="2" customWidth="1"/>
    <col min="4866" max="4866" width="22" style="2" customWidth="1"/>
    <col min="4867" max="4867" width="19.7109375" style="2" customWidth="1"/>
    <col min="4868" max="4868" width="21.7109375" style="2" customWidth="1"/>
    <col min="4869" max="4869" width="14.28515625" style="2" customWidth="1"/>
    <col min="4870" max="4870" width="15.7109375" style="2" customWidth="1"/>
    <col min="4871" max="5120" width="8.28515625" style="2"/>
    <col min="5121" max="5121" width="26.28515625" style="2" customWidth="1"/>
    <col min="5122" max="5122" width="22" style="2" customWidth="1"/>
    <col min="5123" max="5123" width="19.7109375" style="2" customWidth="1"/>
    <col min="5124" max="5124" width="21.7109375" style="2" customWidth="1"/>
    <col min="5125" max="5125" width="14.28515625" style="2" customWidth="1"/>
    <col min="5126" max="5126" width="15.7109375" style="2" customWidth="1"/>
    <col min="5127" max="5376" width="8.28515625" style="2"/>
    <col min="5377" max="5377" width="26.28515625" style="2" customWidth="1"/>
    <col min="5378" max="5378" width="22" style="2" customWidth="1"/>
    <col min="5379" max="5379" width="19.7109375" style="2" customWidth="1"/>
    <col min="5380" max="5380" width="21.7109375" style="2" customWidth="1"/>
    <col min="5381" max="5381" width="14.28515625" style="2" customWidth="1"/>
    <col min="5382" max="5382" width="15.7109375" style="2" customWidth="1"/>
    <col min="5383" max="5632" width="8.28515625" style="2"/>
    <col min="5633" max="5633" width="26.28515625" style="2" customWidth="1"/>
    <col min="5634" max="5634" width="22" style="2" customWidth="1"/>
    <col min="5635" max="5635" width="19.7109375" style="2" customWidth="1"/>
    <col min="5636" max="5636" width="21.7109375" style="2" customWidth="1"/>
    <col min="5637" max="5637" width="14.28515625" style="2" customWidth="1"/>
    <col min="5638" max="5638" width="15.7109375" style="2" customWidth="1"/>
    <col min="5639" max="5888" width="8.28515625" style="2"/>
    <col min="5889" max="5889" width="26.28515625" style="2" customWidth="1"/>
    <col min="5890" max="5890" width="22" style="2" customWidth="1"/>
    <col min="5891" max="5891" width="19.7109375" style="2" customWidth="1"/>
    <col min="5892" max="5892" width="21.7109375" style="2" customWidth="1"/>
    <col min="5893" max="5893" width="14.28515625" style="2" customWidth="1"/>
    <col min="5894" max="5894" width="15.7109375" style="2" customWidth="1"/>
    <col min="5895" max="6144" width="8.28515625" style="2"/>
    <col min="6145" max="6145" width="26.28515625" style="2" customWidth="1"/>
    <col min="6146" max="6146" width="22" style="2" customWidth="1"/>
    <col min="6147" max="6147" width="19.7109375" style="2" customWidth="1"/>
    <col min="6148" max="6148" width="21.7109375" style="2" customWidth="1"/>
    <col min="6149" max="6149" width="14.28515625" style="2" customWidth="1"/>
    <col min="6150" max="6150" width="15.7109375" style="2" customWidth="1"/>
    <col min="6151" max="6400" width="8.28515625" style="2"/>
    <col min="6401" max="6401" width="26.28515625" style="2" customWidth="1"/>
    <col min="6402" max="6402" width="22" style="2" customWidth="1"/>
    <col min="6403" max="6403" width="19.7109375" style="2" customWidth="1"/>
    <col min="6404" max="6404" width="21.7109375" style="2" customWidth="1"/>
    <col min="6405" max="6405" width="14.28515625" style="2" customWidth="1"/>
    <col min="6406" max="6406" width="15.7109375" style="2" customWidth="1"/>
    <col min="6407" max="6656" width="8.28515625" style="2"/>
    <col min="6657" max="6657" width="26.28515625" style="2" customWidth="1"/>
    <col min="6658" max="6658" width="22" style="2" customWidth="1"/>
    <col min="6659" max="6659" width="19.7109375" style="2" customWidth="1"/>
    <col min="6660" max="6660" width="21.7109375" style="2" customWidth="1"/>
    <col min="6661" max="6661" width="14.28515625" style="2" customWidth="1"/>
    <col min="6662" max="6662" width="15.7109375" style="2" customWidth="1"/>
    <col min="6663" max="6912" width="8.28515625" style="2"/>
    <col min="6913" max="6913" width="26.28515625" style="2" customWidth="1"/>
    <col min="6914" max="6914" width="22" style="2" customWidth="1"/>
    <col min="6915" max="6915" width="19.7109375" style="2" customWidth="1"/>
    <col min="6916" max="6916" width="21.7109375" style="2" customWidth="1"/>
    <col min="6917" max="6917" width="14.28515625" style="2" customWidth="1"/>
    <col min="6918" max="6918" width="15.7109375" style="2" customWidth="1"/>
    <col min="6919" max="7168" width="8.28515625" style="2"/>
    <col min="7169" max="7169" width="26.28515625" style="2" customWidth="1"/>
    <col min="7170" max="7170" width="22" style="2" customWidth="1"/>
    <col min="7171" max="7171" width="19.7109375" style="2" customWidth="1"/>
    <col min="7172" max="7172" width="21.7109375" style="2" customWidth="1"/>
    <col min="7173" max="7173" width="14.28515625" style="2" customWidth="1"/>
    <col min="7174" max="7174" width="15.7109375" style="2" customWidth="1"/>
    <col min="7175" max="7424" width="8.28515625" style="2"/>
    <col min="7425" max="7425" width="26.28515625" style="2" customWidth="1"/>
    <col min="7426" max="7426" width="22" style="2" customWidth="1"/>
    <col min="7427" max="7427" width="19.7109375" style="2" customWidth="1"/>
    <col min="7428" max="7428" width="21.7109375" style="2" customWidth="1"/>
    <col min="7429" max="7429" width="14.28515625" style="2" customWidth="1"/>
    <col min="7430" max="7430" width="15.7109375" style="2" customWidth="1"/>
    <col min="7431" max="7680" width="8.28515625" style="2"/>
    <col min="7681" max="7681" width="26.28515625" style="2" customWidth="1"/>
    <col min="7682" max="7682" width="22" style="2" customWidth="1"/>
    <col min="7683" max="7683" width="19.7109375" style="2" customWidth="1"/>
    <col min="7684" max="7684" width="21.7109375" style="2" customWidth="1"/>
    <col min="7685" max="7685" width="14.28515625" style="2" customWidth="1"/>
    <col min="7686" max="7686" width="15.7109375" style="2" customWidth="1"/>
    <col min="7687" max="7936" width="8.28515625" style="2"/>
    <col min="7937" max="7937" width="26.28515625" style="2" customWidth="1"/>
    <col min="7938" max="7938" width="22" style="2" customWidth="1"/>
    <col min="7939" max="7939" width="19.7109375" style="2" customWidth="1"/>
    <col min="7940" max="7940" width="21.7109375" style="2" customWidth="1"/>
    <col min="7941" max="7941" width="14.28515625" style="2" customWidth="1"/>
    <col min="7942" max="7942" width="15.7109375" style="2" customWidth="1"/>
    <col min="7943" max="8192" width="8.28515625" style="2"/>
    <col min="8193" max="8193" width="26.28515625" style="2" customWidth="1"/>
    <col min="8194" max="8194" width="22" style="2" customWidth="1"/>
    <col min="8195" max="8195" width="19.7109375" style="2" customWidth="1"/>
    <col min="8196" max="8196" width="21.7109375" style="2" customWidth="1"/>
    <col min="8197" max="8197" width="14.28515625" style="2" customWidth="1"/>
    <col min="8198" max="8198" width="15.7109375" style="2" customWidth="1"/>
    <col min="8199" max="8448" width="8.28515625" style="2"/>
    <col min="8449" max="8449" width="26.28515625" style="2" customWidth="1"/>
    <col min="8450" max="8450" width="22" style="2" customWidth="1"/>
    <col min="8451" max="8451" width="19.7109375" style="2" customWidth="1"/>
    <col min="8452" max="8452" width="21.7109375" style="2" customWidth="1"/>
    <col min="8453" max="8453" width="14.28515625" style="2" customWidth="1"/>
    <col min="8454" max="8454" width="15.7109375" style="2" customWidth="1"/>
    <col min="8455" max="8704" width="8.28515625" style="2"/>
    <col min="8705" max="8705" width="26.28515625" style="2" customWidth="1"/>
    <col min="8706" max="8706" width="22" style="2" customWidth="1"/>
    <col min="8707" max="8707" width="19.7109375" style="2" customWidth="1"/>
    <col min="8708" max="8708" width="21.7109375" style="2" customWidth="1"/>
    <col min="8709" max="8709" width="14.28515625" style="2" customWidth="1"/>
    <col min="8710" max="8710" width="15.7109375" style="2" customWidth="1"/>
    <col min="8711" max="8960" width="8.28515625" style="2"/>
    <col min="8961" max="8961" width="26.28515625" style="2" customWidth="1"/>
    <col min="8962" max="8962" width="22" style="2" customWidth="1"/>
    <col min="8963" max="8963" width="19.7109375" style="2" customWidth="1"/>
    <col min="8964" max="8964" width="21.7109375" style="2" customWidth="1"/>
    <col min="8965" max="8965" width="14.28515625" style="2" customWidth="1"/>
    <col min="8966" max="8966" width="15.7109375" style="2" customWidth="1"/>
    <col min="8967" max="9216" width="8.28515625" style="2"/>
    <col min="9217" max="9217" width="26.28515625" style="2" customWidth="1"/>
    <col min="9218" max="9218" width="22" style="2" customWidth="1"/>
    <col min="9219" max="9219" width="19.7109375" style="2" customWidth="1"/>
    <col min="9220" max="9220" width="21.7109375" style="2" customWidth="1"/>
    <col min="9221" max="9221" width="14.28515625" style="2" customWidth="1"/>
    <col min="9222" max="9222" width="15.7109375" style="2" customWidth="1"/>
    <col min="9223" max="9472" width="8.28515625" style="2"/>
    <col min="9473" max="9473" width="26.28515625" style="2" customWidth="1"/>
    <col min="9474" max="9474" width="22" style="2" customWidth="1"/>
    <col min="9475" max="9475" width="19.7109375" style="2" customWidth="1"/>
    <col min="9476" max="9476" width="21.7109375" style="2" customWidth="1"/>
    <col min="9477" max="9477" width="14.28515625" style="2" customWidth="1"/>
    <col min="9478" max="9478" width="15.7109375" style="2" customWidth="1"/>
    <col min="9479" max="9728" width="8.28515625" style="2"/>
    <col min="9729" max="9729" width="26.28515625" style="2" customWidth="1"/>
    <col min="9730" max="9730" width="22" style="2" customWidth="1"/>
    <col min="9731" max="9731" width="19.7109375" style="2" customWidth="1"/>
    <col min="9732" max="9732" width="21.7109375" style="2" customWidth="1"/>
    <col min="9733" max="9733" width="14.28515625" style="2" customWidth="1"/>
    <col min="9734" max="9734" width="15.7109375" style="2" customWidth="1"/>
    <col min="9735" max="9984" width="8.28515625" style="2"/>
    <col min="9985" max="9985" width="26.28515625" style="2" customWidth="1"/>
    <col min="9986" max="9986" width="22" style="2" customWidth="1"/>
    <col min="9987" max="9987" width="19.7109375" style="2" customWidth="1"/>
    <col min="9988" max="9988" width="21.7109375" style="2" customWidth="1"/>
    <col min="9989" max="9989" width="14.28515625" style="2" customWidth="1"/>
    <col min="9990" max="9990" width="15.7109375" style="2" customWidth="1"/>
    <col min="9991" max="10240" width="8.28515625" style="2"/>
    <col min="10241" max="10241" width="26.28515625" style="2" customWidth="1"/>
    <col min="10242" max="10242" width="22" style="2" customWidth="1"/>
    <col min="10243" max="10243" width="19.7109375" style="2" customWidth="1"/>
    <col min="10244" max="10244" width="21.7109375" style="2" customWidth="1"/>
    <col min="10245" max="10245" width="14.28515625" style="2" customWidth="1"/>
    <col min="10246" max="10246" width="15.7109375" style="2" customWidth="1"/>
    <col min="10247" max="10496" width="8.28515625" style="2"/>
    <col min="10497" max="10497" width="26.28515625" style="2" customWidth="1"/>
    <col min="10498" max="10498" width="22" style="2" customWidth="1"/>
    <col min="10499" max="10499" width="19.7109375" style="2" customWidth="1"/>
    <col min="10500" max="10500" width="21.7109375" style="2" customWidth="1"/>
    <col min="10501" max="10501" width="14.28515625" style="2" customWidth="1"/>
    <col min="10502" max="10502" width="15.7109375" style="2" customWidth="1"/>
    <col min="10503" max="10752" width="8.28515625" style="2"/>
    <col min="10753" max="10753" width="26.28515625" style="2" customWidth="1"/>
    <col min="10754" max="10754" width="22" style="2" customWidth="1"/>
    <col min="10755" max="10755" width="19.7109375" style="2" customWidth="1"/>
    <col min="10756" max="10756" width="21.7109375" style="2" customWidth="1"/>
    <col min="10757" max="10757" width="14.28515625" style="2" customWidth="1"/>
    <col min="10758" max="10758" width="15.7109375" style="2" customWidth="1"/>
    <col min="10759" max="11008" width="8.28515625" style="2"/>
    <col min="11009" max="11009" width="26.28515625" style="2" customWidth="1"/>
    <col min="11010" max="11010" width="22" style="2" customWidth="1"/>
    <col min="11011" max="11011" width="19.7109375" style="2" customWidth="1"/>
    <col min="11012" max="11012" width="21.7109375" style="2" customWidth="1"/>
    <col min="11013" max="11013" width="14.28515625" style="2" customWidth="1"/>
    <col min="11014" max="11014" width="15.7109375" style="2" customWidth="1"/>
    <col min="11015" max="11264" width="8.28515625" style="2"/>
    <col min="11265" max="11265" width="26.28515625" style="2" customWidth="1"/>
    <col min="11266" max="11266" width="22" style="2" customWidth="1"/>
    <col min="11267" max="11267" width="19.7109375" style="2" customWidth="1"/>
    <col min="11268" max="11268" width="21.7109375" style="2" customWidth="1"/>
    <col min="11269" max="11269" width="14.28515625" style="2" customWidth="1"/>
    <col min="11270" max="11270" width="15.7109375" style="2" customWidth="1"/>
    <col min="11271" max="11520" width="8.28515625" style="2"/>
    <col min="11521" max="11521" width="26.28515625" style="2" customWidth="1"/>
    <col min="11522" max="11522" width="22" style="2" customWidth="1"/>
    <col min="11523" max="11523" width="19.7109375" style="2" customWidth="1"/>
    <col min="11524" max="11524" width="21.7109375" style="2" customWidth="1"/>
    <col min="11525" max="11525" width="14.28515625" style="2" customWidth="1"/>
    <col min="11526" max="11526" width="15.7109375" style="2" customWidth="1"/>
    <col min="11527" max="11776" width="8.28515625" style="2"/>
    <col min="11777" max="11777" width="26.28515625" style="2" customWidth="1"/>
    <col min="11778" max="11778" width="22" style="2" customWidth="1"/>
    <col min="11779" max="11779" width="19.7109375" style="2" customWidth="1"/>
    <col min="11780" max="11780" width="21.7109375" style="2" customWidth="1"/>
    <col min="11781" max="11781" width="14.28515625" style="2" customWidth="1"/>
    <col min="11782" max="11782" width="15.7109375" style="2" customWidth="1"/>
    <col min="11783" max="12032" width="8.28515625" style="2"/>
    <col min="12033" max="12033" width="26.28515625" style="2" customWidth="1"/>
    <col min="12034" max="12034" width="22" style="2" customWidth="1"/>
    <col min="12035" max="12035" width="19.7109375" style="2" customWidth="1"/>
    <col min="12036" max="12036" width="21.7109375" style="2" customWidth="1"/>
    <col min="12037" max="12037" width="14.28515625" style="2" customWidth="1"/>
    <col min="12038" max="12038" width="15.7109375" style="2" customWidth="1"/>
    <col min="12039" max="12288" width="8.28515625" style="2"/>
    <col min="12289" max="12289" width="26.28515625" style="2" customWidth="1"/>
    <col min="12290" max="12290" width="22" style="2" customWidth="1"/>
    <col min="12291" max="12291" width="19.7109375" style="2" customWidth="1"/>
    <col min="12292" max="12292" width="21.7109375" style="2" customWidth="1"/>
    <col min="12293" max="12293" width="14.28515625" style="2" customWidth="1"/>
    <col min="12294" max="12294" width="15.7109375" style="2" customWidth="1"/>
    <col min="12295" max="12544" width="8.28515625" style="2"/>
    <col min="12545" max="12545" width="26.28515625" style="2" customWidth="1"/>
    <col min="12546" max="12546" width="22" style="2" customWidth="1"/>
    <col min="12547" max="12547" width="19.7109375" style="2" customWidth="1"/>
    <col min="12548" max="12548" width="21.7109375" style="2" customWidth="1"/>
    <col min="12549" max="12549" width="14.28515625" style="2" customWidth="1"/>
    <col min="12550" max="12550" width="15.7109375" style="2" customWidth="1"/>
    <col min="12551" max="12800" width="8.28515625" style="2"/>
    <col min="12801" max="12801" width="26.28515625" style="2" customWidth="1"/>
    <col min="12802" max="12802" width="22" style="2" customWidth="1"/>
    <col min="12803" max="12803" width="19.7109375" style="2" customWidth="1"/>
    <col min="12804" max="12804" width="21.7109375" style="2" customWidth="1"/>
    <col min="12805" max="12805" width="14.28515625" style="2" customWidth="1"/>
    <col min="12806" max="12806" width="15.7109375" style="2" customWidth="1"/>
    <col min="12807" max="13056" width="8.28515625" style="2"/>
    <col min="13057" max="13057" width="26.28515625" style="2" customWidth="1"/>
    <col min="13058" max="13058" width="22" style="2" customWidth="1"/>
    <col min="13059" max="13059" width="19.7109375" style="2" customWidth="1"/>
    <col min="13060" max="13060" width="21.7109375" style="2" customWidth="1"/>
    <col min="13061" max="13061" width="14.28515625" style="2" customWidth="1"/>
    <col min="13062" max="13062" width="15.7109375" style="2" customWidth="1"/>
    <col min="13063" max="13312" width="8.28515625" style="2"/>
    <col min="13313" max="13313" width="26.28515625" style="2" customWidth="1"/>
    <col min="13314" max="13314" width="22" style="2" customWidth="1"/>
    <col min="13315" max="13315" width="19.7109375" style="2" customWidth="1"/>
    <col min="13316" max="13316" width="21.7109375" style="2" customWidth="1"/>
    <col min="13317" max="13317" width="14.28515625" style="2" customWidth="1"/>
    <col min="13318" max="13318" width="15.7109375" style="2" customWidth="1"/>
    <col min="13319" max="13568" width="8.28515625" style="2"/>
    <col min="13569" max="13569" width="26.28515625" style="2" customWidth="1"/>
    <col min="13570" max="13570" width="22" style="2" customWidth="1"/>
    <col min="13571" max="13571" width="19.7109375" style="2" customWidth="1"/>
    <col min="13572" max="13572" width="21.7109375" style="2" customWidth="1"/>
    <col min="13573" max="13573" width="14.28515625" style="2" customWidth="1"/>
    <col min="13574" max="13574" width="15.7109375" style="2" customWidth="1"/>
    <col min="13575" max="13824" width="8.28515625" style="2"/>
    <col min="13825" max="13825" width="26.28515625" style="2" customWidth="1"/>
    <col min="13826" max="13826" width="22" style="2" customWidth="1"/>
    <col min="13827" max="13827" width="19.7109375" style="2" customWidth="1"/>
    <col min="13828" max="13828" width="21.7109375" style="2" customWidth="1"/>
    <col min="13829" max="13829" width="14.28515625" style="2" customWidth="1"/>
    <col min="13830" max="13830" width="15.7109375" style="2" customWidth="1"/>
    <col min="13831" max="14080" width="8.28515625" style="2"/>
    <col min="14081" max="14081" width="26.28515625" style="2" customWidth="1"/>
    <col min="14082" max="14082" width="22" style="2" customWidth="1"/>
    <col min="14083" max="14083" width="19.7109375" style="2" customWidth="1"/>
    <col min="14084" max="14084" width="21.7109375" style="2" customWidth="1"/>
    <col min="14085" max="14085" width="14.28515625" style="2" customWidth="1"/>
    <col min="14086" max="14086" width="15.7109375" style="2" customWidth="1"/>
    <col min="14087" max="14336" width="8.28515625" style="2"/>
    <col min="14337" max="14337" width="26.28515625" style="2" customWidth="1"/>
    <col min="14338" max="14338" width="22" style="2" customWidth="1"/>
    <col min="14339" max="14339" width="19.7109375" style="2" customWidth="1"/>
    <col min="14340" max="14340" width="21.7109375" style="2" customWidth="1"/>
    <col min="14341" max="14341" width="14.28515625" style="2" customWidth="1"/>
    <col min="14342" max="14342" width="15.7109375" style="2" customWidth="1"/>
    <col min="14343" max="14592" width="8.28515625" style="2"/>
    <col min="14593" max="14593" width="26.28515625" style="2" customWidth="1"/>
    <col min="14594" max="14594" width="22" style="2" customWidth="1"/>
    <col min="14595" max="14595" width="19.7109375" style="2" customWidth="1"/>
    <col min="14596" max="14596" width="21.7109375" style="2" customWidth="1"/>
    <col min="14597" max="14597" width="14.28515625" style="2" customWidth="1"/>
    <col min="14598" max="14598" width="15.7109375" style="2" customWidth="1"/>
    <col min="14599" max="14848" width="8.28515625" style="2"/>
    <col min="14849" max="14849" width="26.28515625" style="2" customWidth="1"/>
    <col min="14850" max="14850" width="22" style="2" customWidth="1"/>
    <col min="14851" max="14851" width="19.7109375" style="2" customWidth="1"/>
    <col min="14852" max="14852" width="21.7109375" style="2" customWidth="1"/>
    <col min="14853" max="14853" width="14.28515625" style="2" customWidth="1"/>
    <col min="14854" max="14854" width="15.7109375" style="2" customWidth="1"/>
    <col min="14855" max="15104" width="8.28515625" style="2"/>
    <col min="15105" max="15105" width="26.28515625" style="2" customWidth="1"/>
    <col min="15106" max="15106" width="22" style="2" customWidth="1"/>
    <col min="15107" max="15107" width="19.7109375" style="2" customWidth="1"/>
    <col min="15108" max="15108" width="21.7109375" style="2" customWidth="1"/>
    <col min="15109" max="15109" width="14.28515625" style="2" customWidth="1"/>
    <col min="15110" max="15110" width="15.7109375" style="2" customWidth="1"/>
    <col min="15111" max="15360" width="8.28515625" style="2"/>
    <col min="15361" max="15361" width="26.28515625" style="2" customWidth="1"/>
    <col min="15362" max="15362" width="22" style="2" customWidth="1"/>
    <col min="15363" max="15363" width="19.7109375" style="2" customWidth="1"/>
    <col min="15364" max="15364" width="21.7109375" style="2" customWidth="1"/>
    <col min="15365" max="15365" width="14.28515625" style="2" customWidth="1"/>
    <col min="15366" max="15366" width="15.7109375" style="2" customWidth="1"/>
    <col min="15367" max="15616" width="8.28515625" style="2"/>
    <col min="15617" max="15617" width="26.28515625" style="2" customWidth="1"/>
    <col min="15618" max="15618" width="22" style="2" customWidth="1"/>
    <col min="15619" max="15619" width="19.7109375" style="2" customWidth="1"/>
    <col min="15620" max="15620" width="21.7109375" style="2" customWidth="1"/>
    <col min="15621" max="15621" width="14.28515625" style="2" customWidth="1"/>
    <col min="15622" max="15622" width="15.7109375" style="2" customWidth="1"/>
    <col min="15623" max="15872" width="8.28515625" style="2"/>
    <col min="15873" max="15873" width="26.28515625" style="2" customWidth="1"/>
    <col min="15874" max="15874" width="22" style="2" customWidth="1"/>
    <col min="15875" max="15875" width="19.7109375" style="2" customWidth="1"/>
    <col min="15876" max="15876" width="21.7109375" style="2" customWidth="1"/>
    <col min="15877" max="15877" width="14.28515625" style="2" customWidth="1"/>
    <col min="15878" max="15878" width="15.7109375" style="2" customWidth="1"/>
    <col min="15879" max="16128" width="8.28515625" style="2"/>
    <col min="16129" max="16129" width="26.28515625" style="2" customWidth="1"/>
    <col min="16130" max="16130" width="22" style="2" customWidth="1"/>
    <col min="16131" max="16131" width="19.7109375" style="2" customWidth="1"/>
    <col min="16132" max="16132" width="21.7109375" style="2" customWidth="1"/>
    <col min="16133" max="16133" width="14.28515625" style="2" customWidth="1"/>
    <col min="16134" max="16134" width="15.7109375" style="2" customWidth="1"/>
    <col min="16135" max="16384" width="8.28515625" style="2"/>
  </cols>
  <sheetData>
    <row r="2" spans="1:7" ht="37.5" customHeight="1">
      <c r="A2" s="510" t="s">
        <v>351</v>
      </c>
      <c r="B2" s="510"/>
      <c r="C2" s="510"/>
      <c r="D2" s="510"/>
    </row>
    <row r="3" spans="1:7" s="60" customFormat="1" ht="37.5" customHeight="1">
      <c r="A3" s="513" t="s">
        <v>352</v>
      </c>
      <c r="B3" s="513"/>
      <c r="C3" s="513"/>
      <c r="D3" s="513"/>
    </row>
    <row r="4" spans="1:7" ht="25.5" customHeight="1">
      <c r="A4" s="514" t="s">
        <v>74</v>
      </c>
      <c r="B4" s="516" t="s">
        <v>304</v>
      </c>
      <c r="C4" s="517" t="s">
        <v>316</v>
      </c>
      <c r="D4" s="518" t="s">
        <v>75</v>
      </c>
    </row>
    <row r="5" spans="1:7" ht="60" customHeight="1" thickBot="1">
      <c r="A5" s="515"/>
      <c r="B5" s="440"/>
      <c r="C5" s="440"/>
      <c r="D5" s="519"/>
    </row>
    <row r="6" spans="1:7" s="128" customFormat="1" ht="21.75" customHeight="1">
      <c r="A6" s="303" t="s">
        <v>23</v>
      </c>
      <c r="B6" s="8">
        <v>6551509.9000000004</v>
      </c>
      <c r="C6" s="304">
        <v>26617</v>
      </c>
      <c r="D6" s="377" t="s">
        <v>24</v>
      </c>
      <c r="E6" s="306"/>
      <c r="F6" s="307"/>
    </row>
    <row r="7" spans="1:7" ht="14.1" customHeight="1">
      <c r="A7" s="308" t="s">
        <v>190</v>
      </c>
      <c r="B7" s="27">
        <v>675.5</v>
      </c>
      <c r="C7" s="309">
        <v>2</v>
      </c>
      <c r="D7" s="378" t="s">
        <v>204</v>
      </c>
      <c r="E7" s="40"/>
      <c r="F7" s="310"/>
    </row>
    <row r="8" spans="1:7" s="12" customFormat="1" ht="14.1" customHeight="1">
      <c r="A8" s="308" t="s">
        <v>76</v>
      </c>
      <c r="B8" s="38">
        <v>194562</v>
      </c>
      <c r="C8" s="309">
        <v>765</v>
      </c>
      <c r="D8" s="378" t="s">
        <v>76</v>
      </c>
      <c r="E8" s="40"/>
      <c r="F8" s="2"/>
      <c r="G8" s="2"/>
    </row>
    <row r="9" spans="1:7" s="12" customFormat="1" ht="14.1" customHeight="1">
      <c r="A9" s="308" t="s">
        <v>77</v>
      </c>
      <c r="B9" s="27">
        <v>592223</v>
      </c>
      <c r="C9" s="309">
        <v>2876</v>
      </c>
      <c r="D9" s="378" t="s">
        <v>78</v>
      </c>
      <c r="E9" s="40"/>
      <c r="F9" s="311"/>
    </row>
    <row r="10" spans="1:7" s="12" customFormat="1" ht="14.1" customHeight="1">
      <c r="A10" s="308" t="s">
        <v>79</v>
      </c>
      <c r="B10" s="27">
        <v>328.3</v>
      </c>
      <c r="C10" s="309">
        <v>2</v>
      </c>
      <c r="D10" s="378" t="s">
        <v>80</v>
      </c>
      <c r="E10" s="40"/>
      <c r="F10" s="311"/>
    </row>
    <row r="11" spans="1:7" s="12" customFormat="1" ht="14.1" customHeight="1">
      <c r="A11" s="308" t="s">
        <v>82</v>
      </c>
      <c r="B11" s="27">
        <v>65248.2</v>
      </c>
      <c r="C11" s="309">
        <v>260</v>
      </c>
      <c r="D11" s="378" t="s">
        <v>83</v>
      </c>
      <c r="E11" s="40"/>
      <c r="F11" s="311"/>
    </row>
    <row r="12" spans="1:7" ht="14.1" customHeight="1">
      <c r="A12" s="308" t="s">
        <v>84</v>
      </c>
      <c r="B12" s="27">
        <v>199379</v>
      </c>
      <c r="C12" s="309">
        <v>749</v>
      </c>
      <c r="D12" s="378" t="s">
        <v>85</v>
      </c>
      <c r="E12" s="40"/>
      <c r="F12" s="311"/>
    </row>
    <row r="13" spans="1:7" ht="14.1" customHeight="1">
      <c r="A13" s="308" t="s">
        <v>86</v>
      </c>
      <c r="B13" s="130">
        <v>264941</v>
      </c>
      <c r="C13" s="312">
        <v>1304</v>
      </c>
      <c r="D13" s="378" t="s">
        <v>87</v>
      </c>
      <c r="E13" s="40"/>
      <c r="F13" s="311"/>
    </row>
    <row r="14" spans="1:7" ht="14.1" customHeight="1">
      <c r="A14" s="308" t="s">
        <v>88</v>
      </c>
      <c r="B14" s="27">
        <v>4443.7</v>
      </c>
      <c r="C14" s="309">
        <v>29</v>
      </c>
      <c r="D14" s="378" t="s">
        <v>89</v>
      </c>
      <c r="E14" s="40"/>
      <c r="F14" s="311"/>
    </row>
    <row r="15" spans="1:7" ht="14.1" customHeight="1">
      <c r="A15" s="308" t="s">
        <v>90</v>
      </c>
      <c r="B15" s="27">
        <v>229867.3</v>
      </c>
      <c r="C15" s="309">
        <v>1239</v>
      </c>
      <c r="D15" s="378" t="s">
        <v>91</v>
      </c>
      <c r="E15" s="40"/>
      <c r="F15" s="311"/>
    </row>
    <row r="16" spans="1:7" ht="14.1" customHeight="1">
      <c r="A16" s="308" t="s">
        <v>92</v>
      </c>
      <c r="B16" s="27">
        <v>15902.2</v>
      </c>
      <c r="C16" s="309">
        <v>65</v>
      </c>
      <c r="D16" s="378" t="s">
        <v>93</v>
      </c>
      <c r="E16" s="40"/>
      <c r="F16" s="311"/>
    </row>
    <row r="17" spans="1:6" ht="14.1" customHeight="1">
      <c r="A17" s="308" t="s">
        <v>96</v>
      </c>
      <c r="B17" s="27">
        <v>32894.699999999997</v>
      </c>
      <c r="C17" s="309">
        <v>130</v>
      </c>
      <c r="D17" s="378" t="s">
        <v>97</v>
      </c>
      <c r="E17" s="40"/>
      <c r="F17" s="311"/>
    </row>
    <row r="18" spans="1:6" ht="14.1" customHeight="1">
      <c r="A18" s="308" t="s">
        <v>98</v>
      </c>
      <c r="B18" s="27">
        <v>21830.400000000001</v>
      </c>
      <c r="C18" s="309">
        <v>95</v>
      </c>
      <c r="D18" s="378" t="s">
        <v>99</v>
      </c>
      <c r="E18" s="40"/>
      <c r="F18" s="311"/>
    </row>
    <row r="19" spans="1:6" ht="14.1" customHeight="1">
      <c r="A19" s="308" t="s">
        <v>102</v>
      </c>
      <c r="B19" s="130">
        <v>3218645</v>
      </c>
      <c r="C19" s="312">
        <v>12648</v>
      </c>
      <c r="D19" s="378" t="s">
        <v>103</v>
      </c>
      <c r="E19" s="40"/>
      <c r="F19" s="311"/>
    </row>
    <row r="20" spans="1:6" ht="14.1" customHeight="1">
      <c r="A20" s="308" t="s">
        <v>104</v>
      </c>
      <c r="B20" s="27">
        <v>232665.3</v>
      </c>
      <c r="C20" s="309">
        <v>746</v>
      </c>
      <c r="D20" s="378" t="s">
        <v>105</v>
      </c>
      <c r="E20" s="40"/>
      <c r="F20" s="311"/>
    </row>
    <row r="21" spans="1:6" ht="14.1" customHeight="1">
      <c r="A21" s="308" t="s">
        <v>108</v>
      </c>
      <c r="B21" s="130">
        <v>78601.100000000006</v>
      </c>
      <c r="C21" s="312">
        <v>339</v>
      </c>
      <c r="D21" s="378" t="s">
        <v>109</v>
      </c>
      <c r="E21" s="40"/>
      <c r="F21" s="311"/>
    </row>
    <row r="22" spans="1:6" ht="14.1" customHeight="1">
      <c r="A22" s="308" t="s">
        <v>114</v>
      </c>
      <c r="B22" s="27">
        <v>528159.80000000005</v>
      </c>
      <c r="C22" s="309">
        <v>2085</v>
      </c>
      <c r="D22" s="378" t="s">
        <v>115</v>
      </c>
      <c r="E22" s="20"/>
    </row>
    <row r="23" spans="1:6" s="59" customFormat="1" ht="14.1" customHeight="1">
      <c r="A23" s="308" t="s">
        <v>118</v>
      </c>
      <c r="B23" s="27">
        <v>18645.900000000001</v>
      </c>
      <c r="C23" s="309">
        <v>105</v>
      </c>
      <c r="D23" s="378" t="s">
        <v>119</v>
      </c>
      <c r="E23" s="313"/>
    </row>
    <row r="24" spans="1:6" s="128" customFormat="1" ht="14.1" customHeight="1">
      <c r="A24" s="308" t="s">
        <v>120</v>
      </c>
      <c r="B24" s="27">
        <v>255124</v>
      </c>
      <c r="C24" s="309">
        <v>663</v>
      </c>
      <c r="D24" s="378" t="s">
        <v>121</v>
      </c>
      <c r="E24" s="314"/>
      <c r="F24" s="307"/>
    </row>
    <row r="25" spans="1:6" ht="14.1" customHeight="1">
      <c r="A25" s="308" t="s">
        <v>122</v>
      </c>
      <c r="B25" s="27">
        <v>37158.1</v>
      </c>
      <c r="C25" s="309">
        <v>194</v>
      </c>
      <c r="D25" s="378" t="s">
        <v>123</v>
      </c>
    </row>
    <row r="26" spans="1:6" s="58" customFormat="1" ht="14.1" customHeight="1">
      <c r="A26" s="308" t="s">
        <v>290</v>
      </c>
      <c r="B26" s="26">
        <v>560215.4</v>
      </c>
      <c r="C26" s="309">
        <v>2321</v>
      </c>
      <c r="D26" s="378" t="s">
        <v>291</v>
      </c>
    </row>
    <row r="27" spans="1:6" ht="15" customHeight="1">
      <c r="A27" s="315" t="s">
        <v>124</v>
      </c>
      <c r="B27" s="145">
        <v>5798398.2999999998</v>
      </c>
      <c r="C27" s="345">
        <v>22890</v>
      </c>
      <c r="D27" s="379" t="s">
        <v>125</v>
      </c>
    </row>
    <row r="28" spans="1:6" ht="15" customHeight="1">
      <c r="A28" s="315" t="s">
        <v>126</v>
      </c>
      <c r="B28" s="145">
        <v>753111.6</v>
      </c>
      <c r="C28" s="348">
        <v>3727</v>
      </c>
      <c r="D28" s="379" t="s">
        <v>127</v>
      </c>
    </row>
    <row r="29" spans="1:6" ht="69.75" customHeight="1">
      <c r="A29" s="520" t="s">
        <v>292</v>
      </c>
      <c r="B29" s="521"/>
      <c r="C29" s="521"/>
      <c r="D29" s="521"/>
    </row>
    <row r="30" spans="1:6" ht="69.75" customHeight="1">
      <c r="A30" s="511" t="s">
        <v>293</v>
      </c>
      <c r="B30" s="512"/>
      <c r="C30" s="512"/>
      <c r="D30" s="512"/>
    </row>
    <row r="31" spans="1:6" ht="10.5" customHeight="1"/>
    <row r="32" spans="1:6" ht="10.5" customHeight="1"/>
    <row r="33" ht="10.5" customHeight="1"/>
    <row r="34" ht="10.5" customHeight="1"/>
    <row r="35" ht="10.5" customHeight="1"/>
    <row r="36" ht="10.5" customHeight="1"/>
    <row r="37" ht="10.5" customHeight="1"/>
    <row r="38" ht="10.5" customHeight="1"/>
    <row r="39" ht="10.5" customHeight="1"/>
    <row r="40" ht="10.5" customHeight="1"/>
    <row r="41" ht="10.5" customHeight="1"/>
    <row r="42" ht="10.5" customHeight="1"/>
    <row r="43" ht="10.5" customHeight="1"/>
    <row r="44" ht="10.5" customHeight="1"/>
    <row r="45" ht="10.5" customHeight="1"/>
    <row r="46" ht="10.5" customHeight="1"/>
    <row r="47" ht="10.5" customHeight="1"/>
    <row r="48" ht="10.5" customHeight="1"/>
    <row r="49" ht="10.5" customHeight="1"/>
    <row r="50" ht="10.5" customHeight="1"/>
    <row r="51" ht="10.5" customHeight="1"/>
    <row r="52" ht="10.5" customHeight="1"/>
    <row r="53" ht="10.5" customHeight="1"/>
  </sheetData>
  <mergeCells count="8">
    <mergeCell ref="A2:D2"/>
    <mergeCell ref="A30:D30"/>
    <mergeCell ref="A3:D3"/>
    <mergeCell ref="A4:A5"/>
    <mergeCell ref="B4:B5"/>
    <mergeCell ref="C4:C5"/>
    <mergeCell ref="D4:D5"/>
    <mergeCell ref="A29:D29"/>
  </mergeCells>
  <pageMargins left="0.7" right="0.7" top="0.75" bottom="0.75" header="0.3" footer="0.3"/>
  <pageSetup paperSize="9" scale="9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37"/>
  <sheetViews>
    <sheetView zoomScaleNormal="100" workbookViewId="0">
      <pane ySplit="5" topLeftCell="A6" activePane="bottomLeft" state="frozen"/>
      <selection pane="bottomLeft"/>
    </sheetView>
  </sheetViews>
  <sheetFormatPr defaultColWidth="8.28515625" defaultRowHeight="12.75"/>
  <cols>
    <col min="1" max="1" width="43.7109375" style="318" customWidth="1"/>
    <col min="2" max="2" width="22" style="319" customWidth="1"/>
    <col min="3" max="3" width="19.7109375" style="320" customWidth="1"/>
    <col min="4" max="4" width="43.7109375" style="321" customWidth="1"/>
    <col min="5" max="5" width="14.28515625" style="2" customWidth="1"/>
    <col min="6" max="6" width="15.7109375" style="2" customWidth="1"/>
    <col min="7" max="256" width="8.28515625" style="2"/>
    <col min="257" max="257" width="26.28515625" style="2" customWidth="1"/>
    <col min="258" max="258" width="22" style="2" customWidth="1"/>
    <col min="259" max="259" width="19.7109375" style="2" customWidth="1"/>
    <col min="260" max="260" width="21.7109375" style="2" customWidth="1"/>
    <col min="261" max="261" width="14.28515625" style="2" customWidth="1"/>
    <col min="262" max="262" width="15.7109375" style="2" customWidth="1"/>
    <col min="263" max="512" width="8.28515625" style="2"/>
    <col min="513" max="513" width="26.28515625" style="2" customWidth="1"/>
    <col min="514" max="514" width="22" style="2" customWidth="1"/>
    <col min="515" max="515" width="19.7109375" style="2" customWidth="1"/>
    <col min="516" max="516" width="21.7109375" style="2" customWidth="1"/>
    <col min="517" max="517" width="14.28515625" style="2" customWidth="1"/>
    <col min="518" max="518" width="15.7109375" style="2" customWidth="1"/>
    <col min="519" max="768" width="8.28515625" style="2"/>
    <col min="769" max="769" width="26.28515625" style="2" customWidth="1"/>
    <col min="770" max="770" width="22" style="2" customWidth="1"/>
    <col min="771" max="771" width="19.7109375" style="2" customWidth="1"/>
    <col min="772" max="772" width="21.7109375" style="2" customWidth="1"/>
    <col min="773" max="773" width="14.28515625" style="2" customWidth="1"/>
    <col min="774" max="774" width="15.7109375" style="2" customWidth="1"/>
    <col min="775" max="1024" width="8.28515625" style="2"/>
    <col min="1025" max="1025" width="26.28515625" style="2" customWidth="1"/>
    <col min="1026" max="1026" width="22" style="2" customWidth="1"/>
    <col min="1027" max="1027" width="19.7109375" style="2" customWidth="1"/>
    <col min="1028" max="1028" width="21.7109375" style="2" customWidth="1"/>
    <col min="1029" max="1029" width="14.28515625" style="2" customWidth="1"/>
    <col min="1030" max="1030" width="15.7109375" style="2" customWidth="1"/>
    <col min="1031" max="1280" width="8.28515625" style="2"/>
    <col min="1281" max="1281" width="26.28515625" style="2" customWidth="1"/>
    <col min="1282" max="1282" width="22" style="2" customWidth="1"/>
    <col min="1283" max="1283" width="19.7109375" style="2" customWidth="1"/>
    <col min="1284" max="1284" width="21.7109375" style="2" customWidth="1"/>
    <col min="1285" max="1285" width="14.28515625" style="2" customWidth="1"/>
    <col min="1286" max="1286" width="15.7109375" style="2" customWidth="1"/>
    <col min="1287" max="1536" width="8.28515625" style="2"/>
    <col min="1537" max="1537" width="26.28515625" style="2" customWidth="1"/>
    <col min="1538" max="1538" width="22" style="2" customWidth="1"/>
    <col min="1539" max="1539" width="19.7109375" style="2" customWidth="1"/>
    <col min="1540" max="1540" width="21.7109375" style="2" customWidth="1"/>
    <col min="1541" max="1541" width="14.28515625" style="2" customWidth="1"/>
    <col min="1542" max="1542" width="15.7109375" style="2" customWidth="1"/>
    <col min="1543" max="1792" width="8.28515625" style="2"/>
    <col min="1793" max="1793" width="26.28515625" style="2" customWidth="1"/>
    <col min="1794" max="1794" width="22" style="2" customWidth="1"/>
    <col min="1795" max="1795" width="19.7109375" style="2" customWidth="1"/>
    <col min="1796" max="1796" width="21.7109375" style="2" customWidth="1"/>
    <col min="1797" max="1797" width="14.28515625" style="2" customWidth="1"/>
    <col min="1798" max="1798" width="15.7109375" style="2" customWidth="1"/>
    <col min="1799" max="2048" width="8.28515625" style="2"/>
    <col min="2049" max="2049" width="26.28515625" style="2" customWidth="1"/>
    <col min="2050" max="2050" width="22" style="2" customWidth="1"/>
    <col min="2051" max="2051" width="19.7109375" style="2" customWidth="1"/>
    <col min="2052" max="2052" width="21.7109375" style="2" customWidth="1"/>
    <col min="2053" max="2053" width="14.28515625" style="2" customWidth="1"/>
    <col min="2054" max="2054" width="15.7109375" style="2" customWidth="1"/>
    <col min="2055" max="2304" width="8.28515625" style="2"/>
    <col min="2305" max="2305" width="26.28515625" style="2" customWidth="1"/>
    <col min="2306" max="2306" width="22" style="2" customWidth="1"/>
    <col min="2307" max="2307" width="19.7109375" style="2" customWidth="1"/>
    <col min="2308" max="2308" width="21.7109375" style="2" customWidth="1"/>
    <col min="2309" max="2309" width="14.28515625" style="2" customWidth="1"/>
    <col min="2310" max="2310" width="15.7109375" style="2" customWidth="1"/>
    <col min="2311" max="2560" width="8.28515625" style="2"/>
    <col min="2561" max="2561" width="26.28515625" style="2" customWidth="1"/>
    <col min="2562" max="2562" width="22" style="2" customWidth="1"/>
    <col min="2563" max="2563" width="19.7109375" style="2" customWidth="1"/>
    <col min="2564" max="2564" width="21.7109375" style="2" customWidth="1"/>
    <col min="2565" max="2565" width="14.28515625" style="2" customWidth="1"/>
    <col min="2566" max="2566" width="15.7109375" style="2" customWidth="1"/>
    <col min="2567" max="2816" width="8.28515625" style="2"/>
    <col min="2817" max="2817" width="26.28515625" style="2" customWidth="1"/>
    <col min="2818" max="2818" width="22" style="2" customWidth="1"/>
    <col min="2819" max="2819" width="19.7109375" style="2" customWidth="1"/>
    <col min="2820" max="2820" width="21.7109375" style="2" customWidth="1"/>
    <col min="2821" max="2821" width="14.28515625" style="2" customWidth="1"/>
    <col min="2822" max="2822" width="15.7109375" style="2" customWidth="1"/>
    <col min="2823" max="3072" width="8.28515625" style="2"/>
    <col min="3073" max="3073" width="26.28515625" style="2" customWidth="1"/>
    <col min="3074" max="3074" width="22" style="2" customWidth="1"/>
    <col min="3075" max="3075" width="19.7109375" style="2" customWidth="1"/>
    <col min="3076" max="3076" width="21.7109375" style="2" customWidth="1"/>
    <col min="3077" max="3077" width="14.28515625" style="2" customWidth="1"/>
    <col min="3078" max="3078" width="15.7109375" style="2" customWidth="1"/>
    <col min="3079" max="3328" width="8.28515625" style="2"/>
    <col min="3329" max="3329" width="26.28515625" style="2" customWidth="1"/>
    <col min="3330" max="3330" width="22" style="2" customWidth="1"/>
    <col min="3331" max="3331" width="19.7109375" style="2" customWidth="1"/>
    <col min="3332" max="3332" width="21.7109375" style="2" customWidth="1"/>
    <col min="3333" max="3333" width="14.28515625" style="2" customWidth="1"/>
    <col min="3334" max="3334" width="15.7109375" style="2" customWidth="1"/>
    <col min="3335" max="3584" width="8.28515625" style="2"/>
    <col min="3585" max="3585" width="26.28515625" style="2" customWidth="1"/>
    <col min="3586" max="3586" width="22" style="2" customWidth="1"/>
    <col min="3587" max="3587" width="19.7109375" style="2" customWidth="1"/>
    <col min="3588" max="3588" width="21.7109375" style="2" customWidth="1"/>
    <col min="3589" max="3589" width="14.28515625" style="2" customWidth="1"/>
    <col min="3590" max="3590" width="15.7109375" style="2" customWidth="1"/>
    <col min="3591" max="3840" width="8.28515625" style="2"/>
    <col min="3841" max="3841" width="26.28515625" style="2" customWidth="1"/>
    <col min="3842" max="3842" width="22" style="2" customWidth="1"/>
    <col min="3843" max="3843" width="19.7109375" style="2" customWidth="1"/>
    <col min="3844" max="3844" width="21.7109375" style="2" customWidth="1"/>
    <col min="3845" max="3845" width="14.28515625" style="2" customWidth="1"/>
    <col min="3846" max="3846" width="15.7109375" style="2" customWidth="1"/>
    <col min="3847" max="4096" width="8.28515625" style="2"/>
    <col min="4097" max="4097" width="26.28515625" style="2" customWidth="1"/>
    <col min="4098" max="4098" width="22" style="2" customWidth="1"/>
    <col min="4099" max="4099" width="19.7109375" style="2" customWidth="1"/>
    <col min="4100" max="4100" width="21.7109375" style="2" customWidth="1"/>
    <col min="4101" max="4101" width="14.28515625" style="2" customWidth="1"/>
    <col min="4102" max="4102" width="15.7109375" style="2" customWidth="1"/>
    <col min="4103" max="4352" width="8.28515625" style="2"/>
    <col min="4353" max="4353" width="26.28515625" style="2" customWidth="1"/>
    <col min="4354" max="4354" width="22" style="2" customWidth="1"/>
    <col min="4355" max="4355" width="19.7109375" style="2" customWidth="1"/>
    <col min="4356" max="4356" width="21.7109375" style="2" customWidth="1"/>
    <col min="4357" max="4357" width="14.28515625" style="2" customWidth="1"/>
    <col min="4358" max="4358" width="15.7109375" style="2" customWidth="1"/>
    <col min="4359" max="4608" width="8.28515625" style="2"/>
    <col min="4609" max="4609" width="26.28515625" style="2" customWidth="1"/>
    <col min="4610" max="4610" width="22" style="2" customWidth="1"/>
    <col min="4611" max="4611" width="19.7109375" style="2" customWidth="1"/>
    <col min="4612" max="4612" width="21.7109375" style="2" customWidth="1"/>
    <col min="4613" max="4613" width="14.28515625" style="2" customWidth="1"/>
    <col min="4614" max="4614" width="15.7109375" style="2" customWidth="1"/>
    <col min="4615" max="4864" width="8.28515625" style="2"/>
    <col min="4865" max="4865" width="26.28515625" style="2" customWidth="1"/>
    <col min="4866" max="4866" width="22" style="2" customWidth="1"/>
    <col min="4867" max="4867" width="19.7109375" style="2" customWidth="1"/>
    <col min="4868" max="4868" width="21.7109375" style="2" customWidth="1"/>
    <col min="4869" max="4869" width="14.28515625" style="2" customWidth="1"/>
    <col min="4870" max="4870" width="15.7109375" style="2" customWidth="1"/>
    <col min="4871" max="5120" width="8.28515625" style="2"/>
    <col min="5121" max="5121" width="26.28515625" style="2" customWidth="1"/>
    <col min="5122" max="5122" width="22" style="2" customWidth="1"/>
    <col min="5123" max="5123" width="19.7109375" style="2" customWidth="1"/>
    <col min="5124" max="5124" width="21.7109375" style="2" customWidth="1"/>
    <col min="5125" max="5125" width="14.28515625" style="2" customWidth="1"/>
    <col min="5126" max="5126" width="15.7109375" style="2" customWidth="1"/>
    <col min="5127" max="5376" width="8.28515625" style="2"/>
    <col min="5377" max="5377" width="26.28515625" style="2" customWidth="1"/>
    <col min="5378" max="5378" width="22" style="2" customWidth="1"/>
    <col min="5379" max="5379" width="19.7109375" style="2" customWidth="1"/>
    <col min="5380" max="5380" width="21.7109375" style="2" customWidth="1"/>
    <col min="5381" max="5381" width="14.28515625" style="2" customWidth="1"/>
    <col min="5382" max="5382" width="15.7109375" style="2" customWidth="1"/>
    <col min="5383" max="5632" width="8.28515625" style="2"/>
    <col min="5633" max="5633" width="26.28515625" style="2" customWidth="1"/>
    <col min="5634" max="5634" width="22" style="2" customWidth="1"/>
    <col min="5635" max="5635" width="19.7109375" style="2" customWidth="1"/>
    <col min="5636" max="5636" width="21.7109375" style="2" customWidth="1"/>
    <col min="5637" max="5637" width="14.28515625" style="2" customWidth="1"/>
    <col min="5638" max="5638" width="15.7109375" style="2" customWidth="1"/>
    <col min="5639" max="5888" width="8.28515625" style="2"/>
    <col min="5889" max="5889" width="26.28515625" style="2" customWidth="1"/>
    <col min="5890" max="5890" width="22" style="2" customWidth="1"/>
    <col min="5891" max="5891" width="19.7109375" style="2" customWidth="1"/>
    <col min="5892" max="5892" width="21.7109375" style="2" customWidth="1"/>
    <col min="5893" max="5893" width="14.28515625" style="2" customWidth="1"/>
    <col min="5894" max="5894" width="15.7109375" style="2" customWidth="1"/>
    <col min="5895" max="6144" width="8.28515625" style="2"/>
    <col min="6145" max="6145" width="26.28515625" style="2" customWidth="1"/>
    <col min="6146" max="6146" width="22" style="2" customWidth="1"/>
    <col min="6147" max="6147" width="19.7109375" style="2" customWidth="1"/>
    <col min="6148" max="6148" width="21.7109375" style="2" customWidth="1"/>
    <col min="6149" max="6149" width="14.28515625" style="2" customWidth="1"/>
    <col min="6150" max="6150" width="15.7109375" style="2" customWidth="1"/>
    <col min="6151" max="6400" width="8.28515625" style="2"/>
    <col min="6401" max="6401" width="26.28515625" style="2" customWidth="1"/>
    <col min="6402" max="6402" width="22" style="2" customWidth="1"/>
    <col min="6403" max="6403" width="19.7109375" style="2" customWidth="1"/>
    <col min="6404" max="6404" width="21.7109375" style="2" customWidth="1"/>
    <col min="6405" max="6405" width="14.28515625" style="2" customWidth="1"/>
    <col min="6406" max="6406" width="15.7109375" style="2" customWidth="1"/>
    <col min="6407" max="6656" width="8.28515625" style="2"/>
    <col min="6657" max="6657" width="26.28515625" style="2" customWidth="1"/>
    <col min="6658" max="6658" width="22" style="2" customWidth="1"/>
    <col min="6659" max="6659" width="19.7109375" style="2" customWidth="1"/>
    <col min="6660" max="6660" width="21.7109375" style="2" customWidth="1"/>
    <col min="6661" max="6661" width="14.28515625" style="2" customWidth="1"/>
    <col min="6662" max="6662" width="15.7109375" style="2" customWidth="1"/>
    <col min="6663" max="6912" width="8.28515625" style="2"/>
    <col min="6913" max="6913" width="26.28515625" style="2" customWidth="1"/>
    <col min="6914" max="6914" width="22" style="2" customWidth="1"/>
    <col min="6915" max="6915" width="19.7109375" style="2" customWidth="1"/>
    <col min="6916" max="6916" width="21.7109375" style="2" customWidth="1"/>
    <col min="6917" max="6917" width="14.28515625" style="2" customWidth="1"/>
    <col min="6918" max="6918" width="15.7109375" style="2" customWidth="1"/>
    <col min="6919" max="7168" width="8.28515625" style="2"/>
    <col min="7169" max="7169" width="26.28515625" style="2" customWidth="1"/>
    <col min="7170" max="7170" width="22" style="2" customWidth="1"/>
    <col min="7171" max="7171" width="19.7109375" style="2" customWidth="1"/>
    <col min="7172" max="7172" width="21.7109375" style="2" customWidth="1"/>
    <col min="7173" max="7173" width="14.28515625" style="2" customWidth="1"/>
    <col min="7174" max="7174" width="15.7109375" style="2" customWidth="1"/>
    <col min="7175" max="7424" width="8.28515625" style="2"/>
    <col min="7425" max="7425" width="26.28515625" style="2" customWidth="1"/>
    <col min="7426" max="7426" width="22" style="2" customWidth="1"/>
    <col min="7427" max="7427" width="19.7109375" style="2" customWidth="1"/>
    <col min="7428" max="7428" width="21.7109375" style="2" customWidth="1"/>
    <col min="7429" max="7429" width="14.28515625" style="2" customWidth="1"/>
    <col min="7430" max="7430" width="15.7109375" style="2" customWidth="1"/>
    <col min="7431" max="7680" width="8.28515625" style="2"/>
    <col min="7681" max="7681" width="26.28515625" style="2" customWidth="1"/>
    <col min="7682" max="7682" width="22" style="2" customWidth="1"/>
    <col min="7683" max="7683" width="19.7109375" style="2" customWidth="1"/>
    <col min="7684" max="7684" width="21.7109375" style="2" customWidth="1"/>
    <col min="7685" max="7685" width="14.28515625" style="2" customWidth="1"/>
    <col min="7686" max="7686" width="15.7109375" style="2" customWidth="1"/>
    <col min="7687" max="7936" width="8.28515625" style="2"/>
    <col min="7937" max="7937" width="26.28515625" style="2" customWidth="1"/>
    <col min="7938" max="7938" width="22" style="2" customWidth="1"/>
    <col min="7939" max="7939" width="19.7109375" style="2" customWidth="1"/>
    <col min="7940" max="7940" width="21.7109375" style="2" customWidth="1"/>
    <col min="7941" max="7941" width="14.28515625" style="2" customWidth="1"/>
    <col min="7942" max="7942" width="15.7109375" style="2" customWidth="1"/>
    <col min="7943" max="8192" width="8.28515625" style="2"/>
    <col min="8193" max="8193" width="26.28515625" style="2" customWidth="1"/>
    <col min="8194" max="8194" width="22" style="2" customWidth="1"/>
    <col min="8195" max="8195" width="19.7109375" style="2" customWidth="1"/>
    <col min="8196" max="8196" width="21.7109375" style="2" customWidth="1"/>
    <col min="8197" max="8197" width="14.28515625" style="2" customWidth="1"/>
    <col min="8198" max="8198" width="15.7109375" style="2" customWidth="1"/>
    <col min="8199" max="8448" width="8.28515625" style="2"/>
    <col min="8449" max="8449" width="26.28515625" style="2" customWidth="1"/>
    <col min="8450" max="8450" width="22" style="2" customWidth="1"/>
    <col min="8451" max="8451" width="19.7109375" style="2" customWidth="1"/>
    <col min="8452" max="8452" width="21.7109375" style="2" customWidth="1"/>
    <col min="8453" max="8453" width="14.28515625" style="2" customWidth="1"/>
    <col min="8454" max="8454" width="15.7109375" style="2" customWidth="1"/>
    <col min="8455" max="8704" width="8.28515625" style="2"/>
    <col min="8705" max="8705" width="26.28515625" style="2" customWidth="1"/>
    <col min="8706" max="8706" width="22" style="2" customWidth="1"/>
    <col min="8707" max="8707" width="19.7109375" style="2" customWidth="1"/>
    <col min="8708" max="8708" width="21.7109375" style="2" customWidth="1"/>
    <col min="8709" max="8709" width="14.28515625" style="2" customWidth="1"/>
    <col min="8710" max="8710" width="15.7109375" style="2" customWidth="1"/>
    <col min="8711" max="8960" width="8.28515625" style="2"/>
    <col min="8961" max="8961" width="26.28515625" style="2" customWidth="1"/>
    <col min="8962" max="8962" width="22" style="2" customWidth="1"/>
    <col min="8963" max="8963" width="19.7109375" style="2" customWidth="1"/>
    <col min="8964" max="8964" width="21.7109375" style="2" customWidth="1"/>
    <col min="8965" max="8965" width="14.28515625" style="2" customWidth="1"/>
    <col min="8966" max="8966" width="15.7109375" style="2" customWidth="1"/>
    <col min="8967" max="9216" width="8.28515625" style="2"/>
    <col min="9217" max="9217" width="26.28515625" style="2" customWidth="1"/>
    <col min="9218" max="9218" width="22" style="2" customWidth="1"/>
    <col min="9219" max="9219" width="19.7109375" style="2" customWidth="1"/>
    <col min="9220" max="9220" width="21.7109375" style="2" customWidth="1"/>
    <col min="9221" max="9221" width="14.28515625" style="2" customWidth="1"/>
    <col min="9222" max="9222" width="15.7109375" style="2" customWidth="1"/>
    <col min="9223" max="9472" width="8.28515625" style="2"/>
    <col min="9473" max="9473" width="26.28515625" style="2" customWidth="1"/>
    <col min="9474" max="9474" width="22" style="2" customWidth="1"/>
    <col min="9475" max="9475" width="19.7109375" style="2" customWidth="1"/>
    <col min="9476" max="9476" width="21.7109375" style="2" customWidth="1"/>
    <col min="9477" max="9477" width="14.28515625" style="2" customWidth="1"/>
    <col min="9478" max="9478" width="15.7109375" style="2" customWidth="1"/>
    <col min="9479" max="9728" width="8.28515625" style="2"/>
    <col min="9729" max="9729" width="26.28515625" style="2" customWidth="1"/>
    <col min="9730" max="9730" width="22" style="2" customWidth="1"/>
    <col min="9731" max="9731" width="19.7109375" style="2" customWidth="1"/>
    <col min="9732" max="9732" width="21.7109375" style="2" customWidth="1"/>
    <col min="9733" max="9733" width="14.28515625" style="2" customWidth="1"/>
    <col min="9734" max="9734" width="15.7109375" style="2" customWidth="1"/>
    <col min="9735" max="9984" width="8.28515625" style="2"/>
    <col min="9985" max="9985" width="26.28515625" style="2" customWidth="1"/>
    <col min="9986" max="9986" width="22" style="2" customWidth="1"/>
    <col min="9987" max="9987" width="19.7109375" style="2" customWidth="1"/>
    <col min="9988" max="9988" width="21.7109375" style="2" customWidth="1"/>
    <col min="9989" max="9989" width="14.28515625" style="2" customWidth="1"/>
    <col min="9990" max="9990" width="15.7109375" style="2" customWidth="1"/>
    <col min="9991" max="10240" width="8.28515625" style="2"/>
    <col min="10241" max="10241" width="26.28515625" style="2" customWidth="1"/>
    <col min="10242" max="10242" width="22" style="2" customWidth="1"/>
    <col min="10243" max="10243" width="19.7109375" style="2" customWidth="1"/>
    <col min="10244" max="10244" width="21.7109375" style="2" customWidth="1"/>
    <col min="10245" max="10245" width="14.28515625" style="2" customWidth="1"/>
    <col min="10246" max="10246" width="15.7109375" style="2" customWidth="1"/>
    <col min="10247" max="10496" width="8.28515625" style="2"/>
    <col min="10497" max="10497" width="26.28515625" style="2" customWidth="1"/>
    <col min="10498" max="10498" width="22" style="2" customWidth="1"/>
    <col min="10499" max="10499" width="19.7109375" style="2" customWidth="1"/>
    <col min="10500" max="10500" width="21.7109375" style="2" customWidth="1"/>
    <col min="10501" max="10501" width="14.28515625" style="2" customWidth="1"/>
    <col min="10502" max="10502" width="15.7109375" style="2" customWidth="1"/>
    <col min="10503" max="10752" width="8.28515625" style="2"/>
    <col min="10753" max="10753" width="26.28515625" style="2" customWidth="1"/>
    <col min="10754" max="10754" width="22" style="2" customWidth="1"/>
    <col min="10755" max="10755" width="19.7109375" style="2" customWidth="1"/>
    <col min="10756" max="10756" width="21.7109375" style="2" customWidth="1"/>
    <col min="10757" max="10757" width="14.28515625" style="2" customWidth="1"/>
    <col min="10758" max="10758" width="15.7109375" style="2" customWidth="1"/>
    <col min="10759" max="11008" width="8.28515625" style="2"/>
    <col min="11009" max="11009" width="26.28515625" style="2" customWidth="1"/>
    <col min="11010" max="11010" width="22" style="2" customWidth="1"/>
    <col min="11011" max="11011" width="19.7109375" style="2" customWidth="1"/>
    <col min="11012" max="11012" width="21.7109375" style="2" customWidth="1"/>
    <col min="11013" max="11013" width="14.28515625" style="2" customWidth="1"/>
    <col min="11014" max="11014" width="15.7109375" style="2" customWidth="1"/>
    <col min="11015" max="11264" width="8.28515625" style="2"/>
    <col min="11265" max="11265" width="26.28515625" style="2" customWidth="1"/>
    <col min="11266" max="11266" width="22" style="2" customWidth="1"/>
    <col min="11267" max="11267" width="19.7109375" style="2" customWidth="1"/>
    <col min="11268" max="11268" width="21.7109375" style="2" customWidth="1"/>
    <col min="11269" max="11269" width="14.28515625" style="2" customWidth="1"/>
    <col min="11270" max="11270" width="15.7109375" style="2" customWidth="1"/>
    <col min="11271" max="11520" width="8.28515625" style="2"/>
    <col min="11521" max="11521" width="26.28515625" style="2" customWidth="1"/>
    <col min="11522" max="11522" width="22" style="2" customWidth="1"/>
    <col min="11523" max="11523" width="19.7109375" style="2" customWidth="1"/>
    <col min="11524" max="11524" width="21.7109375" style="2" customWidth="1"/>
    <col min="11525" max="11525" width="14.28515625" style="2" customWidth="1"/>
    <col min="11526" max="11526" width="15.7109375" style="2" customWidth="1"/>
    <col min="11527" max="11776" width="8.28515625" style="2"/>
    <col min="11777" max="11777" width="26.28515625" style="2" customWidth="1"/>
    <col min="11778" max="11778" width="22" style="2" customWidth="1"/>
    <col min="11779" max="11779" width="19.7109375" style="2" customWidth="1"/>
    <col min="11780" max="11780" width="21.7109375" style="2" customWidth="1"/>
    <col min="11781" max="11781" width="14.28515625" style="2" customWidth="1"/>
    <col min="11782" max="11782" width="15.7109375" style="2" customWidth="1"/>
    <col min="11783" max="12032" width="8.28515625" style="2"/>
    <col min="12033" max="12033" width="26.28515625" style="2" customWidth="1"/>
    <col min="12034" max="12034" width="22" style="2" customWidth="1"/>
    <col min="12035" max="12035" width="19.7109375" style="2" customWidth="1"/>
    <col min="12036" max="12036" width="21.7109375" style="2" customWidth="1"/>
    <col min="12037" max="12037" width="14.28515625" style="2" customWidth="1"/>
    <col min="12038" max="12038" width="15.7109375" style="2" customWidth="1"/>
    <col min="12039" max="12288" width="8.28515625" style="2"/>
    <col min="12289" max="12289" width="26.28515625" style="2" customWidth="1"/>
    <col min="12290" max="12290" width="22" style="2" customWidth="1"/>
    <col min="12291" max="12291" width="19.7109375" style="2" customWidth="1"/>
    <col min="12292" max="12292" width="21.7109375" style="2" customWidth="1"/>
    <col min="12293" max="12293" width="14.28515625" style="2" customWidth="1"/>
    <col min="12294" max="12294" width="15.7109375" style="2" customWidth="1"/>
    <col min="12295" max="12544" width="8.28515625" style="2"/>
    <col min="12545" max="12545" width="26.28515625" style="2" customWidth="1"/>
    <col min="12546" max="12546" width="22" style="2" customWidth="1"/>
    <col min="12547" max="12547" width="19.7109375" style="2" customWidth="1"/>
    <col min="12548" max="12548" width="21.7109375" style="2" customWidth="1"/>
    <col min="12549" max="12549" width="14.28515625" style="2" customWidth="1"/>
    <col min="12550" max="12550" width="15.7109375" style="2" customWidth="1"/>
    <col min="12551" max="12800" width="8.28515625" style="2"/>
    <col min="12801" max="12801" width="26.28515625" style="2" customWidth="1"/>
    <col min="12802" max="12802" width="22" style="2" customWidth="1"/>
    <col min="12803" max="12803" width="19.7109375" style="2" customWidth="1"/>
    <col min="12804" max="12804" width="21.7109375" style="2" customWidth="1"/>
    <col min="12805" max="12805" width="14.28515625" style="2" customWidth="1"/>
    <col min="12806" max="12806" width="15.7109375" style="2" customWidth="1"/>
    <col min="12807" max="13056" width="8.28515625" style="2"/>
    <col min="13057" max="13057" width="26.28515625" style="2" customWidth="1"/>
    <col min="13058" max="13058" width="22" style="2" customWidth="1"/>
    <col min="13059" max="13059" width="19.7109375" style="2" customWidth="1"/>
    <col min="13060" max="13060" width="21.7109375" style="2" customWidth="1"/>
    <col min="13061" max="13061" width="14.28515625" style="2" customWidth="1"/>
    <col min="13062" max="13062" width="15.7109375" style="2" customWidth="1"/>
    <col min="13063" max="13312" width="8.28515625" style="2"/>
    <col min="13313" max="13313" width="26.28515625" style="2" customWidth="1"/>
    <col min="13314" max="13314" width="22" style="2" customWidth="1"/>
    <col min="13315" max="13315" width="19.7109375" style="2" customWidth="1"/>
    <col min="13316" max="13316" width="21.7109375" style="2" customWidth="1"/>
    <col min="13317" max="13317" width="14.28515625" style="2" customWidth="1"/>
    <col min="13318" max="13318" width="15.7109375" style="2" customWidth="1"/>
    <col min="13319" max="13568" width="8.28515625" style="2"/>
    <col min="13569" max="13569" width="26.28515625" style="2" customWidth="1"/>
    <col min="13570" max="13570" width="22" style="2" customWidth="1"/>
    <col min="13571" max="13571" width="19.7109375" style="2" customWidth="1"/>
    <col min="13572" max="13572" width="21.7109375" style="2" customWidth="1"/>
    <col min="13573" max="13573" width="14.28515625" style="2" customWidth="1"/>
    <col min="13574" max="13574" width="15.7109375" style="2" customWidth="1"/>
    <col min="13575" max="13824" width="8.28515625" style="2"/>
    <col min="13825" max="13825" width="26.28515625" style="2" customWidth="1"/>
    <col min="13826" max="13826" width="22" style="2" customWidth="1"/>
    <col min="13827" max="13827" width="19.7109375" style="2" customWidth="1"/>
    <col min="13828" max="13828" width="21.7109375" style="2" customWidth="1"/>
    <col min="13829" max="13829" width="14.28515625" style="2" customWidth="1"/>
    <col min="13830" max="13830" width="15.7109375" style="2" customWidth="1"/>
    <col min="13831" max="14080" width="8.28515625" style="2"/>
    <col min="14081" max="14081" width="26.28515625" style="2" customWidth="1"/>
    <col min="14082" max="14082" width="22" style="2" customWidth="1"/>
    <col min="14083" max="14083" width="19.7109375" style="2" customWidth="1"/>
    <col min="14084" max="14084" width="21.7109375" style="2" customWidth="1"/>
    <col min="14085" max="14085" width="14.28515625" style="2" customWidth="1"/>
    <col min="14086" max="14086" width="15.7109375" style="2" customWidth="1"/>
    <col min="14087" max="14336" width="8.28515625" style="2"/>
    <col min="14337" max="14337" width="26.28515625" style="2" customWidth="1"/>
    <col min="14338" max="14338" width="22" style="2" customWidth="1"/>
    <col min="14339" max="14339" width="19.7109375" style="2" customWidth="1"/>
    <col min="14340" max="14340" width="21.7109375" style="2" customWidth="1"/>
    <col min="14341" max="14341" width="14.28515625" style="2" customWidth="1"/>
    <col min="14342" max="14342" width="15.7109375" style="2" customWidth="1"/>
    <col min="14343" max="14592" width="8.28515625" style="2"/>
    <col min="14593" max="14593" width="26.28515625" style="2" customWidth="1"/>
    <col min="14594" max="14594" width="22" style="2" customWidth="1"/>
    <col min="14595" max="14595" width="19.7109375" style="2" customWidth="1"/>
    <col min="14596" max="14596" width="21.7109375" style="2" customWidth="1"/>
    <col min="14597" max="14597" width="14.28515625" style="2" customWidth="1"/>
    <col min="14598" max="14598" width="15.7109375" style="2" customWidth="1"/>
    <col min="14599" max="14848" width="8.28515625" style="2"/>
    <col min="14849" max="14849" width="26.28515625" style="2" customWidth="1"/>
    <col min="14850" max="14850" width="22" style="2" customWidth="1"/>
    <col min="14851" max="14851" width="19.7109375" style="2" customWidth="1"/>
    <col min="14852" max="14852" width="21.7109375" style="2" customWidth="1"/>
    <col min="14853" max="14853" width="14.28515625" style="2" customWidth="1"/>
    <col min="14854" max="14854" width="15.7109375" style="2" customWidth="1"/>
    <col min="14855" max="15104" width="8.28515625" style="2"/>
    <col min="15105" max="15105" width="26.28515625" style="2" customWidth="1"/>
    <col min="15106" max="15106" width="22" style="2" customWidth="1"/>
    <col min="15107" max="15107" width="19.7109375" style="2" customWidth="1"/>
    <col min="15108" max="15108" width="21.7109375" style="2" customWidth="1"/>
    <col min="15109" max="15109" width="14.28515625" style="2" customWidth="1"/>
    <col min="15110" max="15110" width="15.7109375" style="2" customWidth="1"/>
    <col min="15111" max="15360" width="8.28515625" style="2"/>
    <col min="15361" max="15361" width="26.28515625" style="2" customWidth="1"/>
    <col min="15362" max="15362" width="22" style="2" customWidth="1"/>
    <col min="15363" max="15363" width="19.7109375" style="2" customWidth="1"/>
    <col min="15364" max="15364" width="21.7109375" style="2" customWidth="1"/>
    <col min="15365" max="15365" width="14.28515625" style="2" customWidth="1"/>
    <col min="15366" max="15366" width="15.7109375" style="2" customWidth="1"/>
    <col min="15367" max="15616" width="8.28515625" style="2"/>
    <col min="15617" max="15617" width="26.28515625" style="2" customWidth="1"/>
    <col min="15618" max="15618" width="22" style="2" customWidth="1"/>
    <col min="15619" max="15619" width="19.7109375" style="2" customWidth="1"/>
    <col min="15620" max="15620" width="21.7109375" style="2" customWidth="1"/>
    <col min="15621" max="15621" width="14.28515625" style="2" customWidth="1"/>
    <col min="15622" max="15622" width="15.7109375" style="2" customWidth="1"/>
    <col min="15623" max="15872" width="8.28515625" style="2"/>
    <col min="15873" max="15873" width="26.28515625" style="2" customWidth="1"/>
    <col min="15874" max="15874" width="22" style="2" customWidth="1"/>
    <col min="15875" max="15875" width="19.7109375" style="2" customWidth="1"/>
    <col min="15876" max="15876" width="21.7109375" style="2" customWidth="1"/>
    <col min="15877" max="15877" width="14.28515625" style="2" customWidth="1"/>
    <col min="15878" max="15878" width="15.7109375" style="2" customWidth="1"/>
    <col min="15879" max="16128" width="8.28515625" style="2"/>
    <col min="16129" max="16129" width="26.28515625" style="2" customWidth="1"/>
    <col min="16130" max="16130" width="22" style="2" customWidth="1"/>
    <col min="16131" max="16131" width="19.7109375" style="2" customWidth="1"/>
    <col min="16132" max="16132" width="21.7109375" style="2" customWidth="1"/>
    <col min="16133" max="16133" width="14.28515625" style="2" customWidth="1"/>
    <col min="16134" max="16134" width="15.7109375" style="2" customWidth="1"/>
    <col min="16135" max="16384" width="8.28515625" style="2"/>
  </cols>
  <sheetData>
    <row r="2" spans="1:9" ht="29.25" customHeight="1">
      <c r="A2" s="522" t="s">
        <v>353</v>
      </c>
      <c r="B2" s="523"/>
      <c r="C2" s="523"/>
      <c r="D2" s="523"/>
      <c r="F2" s="322"/>
      <c r="G2" s="322"/>
      <c r="H2" s="322"/>
      <c r="I2" s="322"/>
    </row>
    <row r="3" spans="1:9" s="60" customFormat="1" ht="30.75" customHeight="1">
      <c r="A3" s="513" t="s">
        <v>350</v>
      </c>
      <c r="B3" s="513"/>
      <c r="C3" s="513"/>
      <c r="D3" s="513"/>
      <c r="F3" s="365"/>
      <c r="G3" s="365"/>
      <c r="H3" s="365"/>
      <c r="I3" s="365"/>
    </row>
    <row r="4" spans="1:9" ht="25.5" customHeight="1">
      <c r="A4" s="514" t="s">
        <v>74</v>
      </c>
      <c r="B4" s="516" t="s">
        <v>304</v>
      </c>
      <c r="C4" s="517" t="s">
        <v>316</v>
      </c>
      <c r="D4" s="518" t="s">
        <v>75</v>
      </c>
    </row>
    <row r="5" spans="1:9" ht="60" customHeight="1" thickBot="1">
      <c r="A5" s="515"/>
      <c r="B5" s="440"/>
      <c r="C5" s="440"/>
      <c r="D5" s="519"/>
    </row>
    <row r="6" spans="1:9" s="128" customFormat="1" ht="21.75" customHeight="1">
      <c r="A6" s="280" t="s">
        <v>23</v>
      </c>
      <c r="B6" s="8">
        <v>5798398.2999999998</v>
      </c>
      <c r="C6" s="323">
        <v>22890</v>
      </c>
      <c r="D6" s="305" t="s">
        <v>24</v>
      </c>
      <c r="E6" s="306"/>
      <c r="F6" s="307"/>
    </row>
    <row r="7" spans="1:9" s="12" customFormat="1" ht="14.1" customHeight="1">
      <c r="A7" s="324" t="s">
        <v>76</v>
      </c>
      <c r="B7" s="131">
        <v>192606.5</v>
      </c>
      <c r="C7" s="325">
        <v>752</v>
      </c>
      <c r="D7" s="40" t="s">
        <v>76</v>
      </c>
      <c r="E7" s="40"/>
      <c r="F7" s="311"/>
    </row>
    <row r="8" spans="1:9" s="12" customFormat="1" ht="14.1" customHeight="1">
      <c r="A8" s="324" t="s">
        <v>77</v>
      </c>
      <c r="B8" s="131">
        <v>499386.7</v>
      </c>
      <c r="C8" s="325">
        <v>2342</v>
      </c>
      <c r="D8" s="40" t="s">
        <v>78</v>
      </c>
      <c r="E8" s="40"/>
      <c r="F8" s="311"/>
    </row>
    <row r="9" spans="1:9" ht="14.1" customHeight="1">
      <c r="A9" s="324" t="s">
        <v>79</v>
      </c>
      <c r="B9" s="131">
        <v>328.3</v>
      </c>
      <c r="C9" s="325">
        <v>2</v>
      </c>
      <c r="D9" s="20" t="s">
        <v>80</v>
      </c>
      <c r="E9" s="40"/>
      <c r="F9" s="311"/>
    </row>
    <row r="10" spans="1:9" ht="14.1" customHeight="1">
      <c r="A10" s="324" t="s">
        <v>82</v>
      </c>
      <c r="B10" s="131">
        <v>60522.5</v>
      </c>
      <c r="C10" s="325">
        <v>239</v>
      </c>
      <c r="D10" s="40" t="s">
        <v>83</v>
      </c>
      <c r="E10" s="40"/>
      <c r="F10" s="311"/>
    </row>
    <row r="11" spans="1:9" ht="14.1" customHeight="1">
      <c r="A11" s="324" t="s">
        <v>84</v>
      </c>
      <c r="B11" s="131">
        <v>189553.2</v>
      </c>
      <c r="C11" s="325">
        <v>712</v>
      </c>
      <c r="D11" s="20" t="s">
        <v>85</v>
      </c>
      <c r="E11" s="40"/>
      <c r="F11" s="311"/>
    </row>
    <row r="12" spans="1:9" ht="14.1" customHeight="1">
      <c r="A12" s="324" t="s">
        <v>86</v>
      </c>
      <c r="B12" s="131">
        <v>194417.1</v>
      </c>
      <c r="C12" s="325">
        <v>1015</v>
      </c>
      <c r="D12" s="20" t="s">
        <v>87</v>
      </c>
      <c r="E12" s="40"/>
      <c r="F12" s="311"/>
    </row>
    <row r="13" spans="1:9" ht="14.1" customHeight="1">
      <c r="A13" s="324" t="s">
        <v>88</v>
      </c>
      <c r="B13" s="131">
        <v>2914.1</v>
      </c>
      <c r="C13" s="325">
        <v>19</v>
      </c>
      <c r="D13" s="20" t="s">
        <v>89</v>
      </c>
      <c r="E13" s="40"/>
      <c r="F13" s="311"/>
    </row>
    <row r="14" spans="1:9" ht="14.1" customHeight="1">
      <c r="A14" s="324" t="s">
        <v>92</v>
      </c>
      <c r="B14" s="131">
        <v>10901.1</v>
      </c>
      <c r="C14" s="325">
        <v>43</v>
      </c>
      <c r="D14" s="20" t="s">
        <v>93</v>
      </c>
      <c r="E14" s="40"/>
      <c r="F14" s="311"/>
    </row>
    <row r="15" spans="1:9" ht="14.1" customHeight="1">
      <c r="A15" s="324" t="s">
        <v>94</v>
      </c>
      <c r="B15" s="131">
        <v>22550.2</v>
      </c>
      <c r="C15" s="325">
        <v>84</v>
      </c>
      <c r="D15" s="20" t="s">
        <v>95</v>
      </c>
      <c r="E15" s="40"/>
      <c r="F15" s="311"/>
    </row>
    <row r="16" spans="1:9" ht="14.1" customHeight="1">
      <c r="A16" s="324" t="s">
        <v>96</v>
      </c>
      <c r="B16" s="131">
        <v>28103.200000000001</v>
      </c>
      <c r="C16" s="325">
        <v>105</v>
      </c>
      <c r="D16" s="20" t="s">
        <v>97</v>
      </c>
      <c r="E16" s="20"/>
    </row>
    <row r="17" spans="1:5" ht="14.1" customHeight="1">
      <c r="A17" s="324" t="s">
        <v>98</v>
      </c>
      <c r="B17" s="131">
        <v>19092</v>
      </c>
      <c r="C17" s="325">
        <v>78</v>
      </c>
      <c r="D17" s="20" t="s">
        <v>99</v>
      </c>
      <c r="E17" s="20"/>
    </row>
    <row r="18" spans="1:5" ht="14.1" customHeight="1">
      <c r="A18" s="324" t="s">
        <v>100</v>
      </c>
      <c r="B18" s="131">
        <v>14087</v>
      </c>
      <c r="C18" s="325">
        <v>62</v>
      </c>
      <c r="D18" s="20" t="s">
        <v>101</v>
      </c>
      <c r="E18" s="20"/>
    </row>
    <row r="19" spans="1:5" ht="14.1" customHeight="1">
      <c r="A19" s="324" t="s">
        <v>90</v>
      </c>
      <c r="B19" s="131">
        <v>204737.4</v>
      </c>
      <c r="C19" s="325">
        <v>1086</v>
      </c>
      <c r="D19" s="20" t="s">
        <v>91</v>
      </c>
      <c r="E19" s="20"/>
    </row>
    <row r="20" spans="1:5" ht="14.1" customHeight="1">
      <c r="A20" s="324" t="s">
        <v>102</v>
      </c>
      <c r="B20" s="131">
        <v>3000957.9</v>
      </c>
      <c r="C20" s="325">
        <v>11633</v>
      </c>
      <c r="D20" s="20" t="s">
        <v>103</v>
      </c>
      <c r="E20" s="20"/>
    </row>
    <row r="21" spans="1:5" ht="14.1" customHeight="1">
      <c r="A21" s="324" t="s">
        <v>104</v>
      </c>
      <c r="B21" s="131">
        <v>177938.8</v>
      </c>
      <c r="C21" s="325">
        <v>619</v>
      </c>
      <c r="D21" s="20" t="s">
        <v>105</v>
      </c>
      <c r="E21" s="20"/>
    </row>
    <row r="22" spans="1:5" ht="14.1" customHeight="1">
      <c r="A22" s="324" t="s">
        <v>164</v>
      </c>
      <c r="B22" s="131">
        <v>112851.6</v>
      </c>
      <c r="C22" s="325">
        <v>344</v>
      </c>
      <c r="D22" s="20" t="s">
        <v>81</v>
      </c>
      <c r="E22" s="20"/>
    </row>
    <row r="23" spans="1:5" ht="14.1" customHeight="1">
      <c r="A23" s="324" t="s">
        <v>106</v>
      </c>
      <c r="B23" s="131">
        <v>10930.1</v>
      </c>
      <c r="C23" s="325">
        <v>37</v>
      </c>
      <c r="D23" s="20" t="s">
        <v>107</v>
      </c>
      <c r="E23" s="20"/>
    </row>
    <row r="24" spans="1:5" ht="14.1" customHeight="1">
      <c r="A24" s="324" t="s">
        <v>108</v>
      </c>
      <c r="B24" s="131">
        <v>73826.600000000006</v>
      </c>
      <c r="C24" s="325">
        <v>325</v>
      </c>
      <c r="D24" s="20" t="s">
        <v>109</v>
      </c>
      <c r="E24" s="20"/>
    </row>
    <row r="25" spans="1:5" ht="14.1" customHeight="1">
      <c r="A25" s="324" t="s">
        <v>110</v>
      </c>
      <c r="B25" s="131">
        <v>2753.1</v>
      </c>
      <c r="C25" s="325">
        <v>10</v>
      </c>
      <c r="D25" s="20" t="s">
        <v>111</v>
      </c>
      <c r="E25" s="20"/>
    </row>
    <row r="26" spans="1:5" ht="14.1" customHeight="1">
      <c r="A26" s="324" t="s">
        <v>112</v>
      </c>
      <c r="B26" s="131">
        <v>16747.3</v>
      </c>
      <c r="C26" s="325">
        <v>47</v>
      </c>
      <c r="D26" s="20" t="s">
        <v>113</v>
      </c>
      <c r="E26" s="20"/>
    </row>
    <row r="27" spans="1:5" ht="14.1" customHeight="1">
      <c r="A27" s="324" t="s">
        <v>114</v>
      </c>
      <c r="B27" s="131">
        <v>498933.3</v>
      </c>
      <c r="C27" s="325">
        <v>1949</v>
      </c>
      <c r="D27" s="20" t="s">
        <v>115</v>
      </c>
      <c r="E27" s="20"/>
    </row>
    <row r="28" spans="1:5" ht="14.1" customHeight="1">
      <c r="A28" s="324" t="s">
        <v>116</v>
      </c>
      <c r="B28" s="131">
        <v>1993.7</v>
      </c>
      <c r="C28" s="325">
        <v>8</v>
      </c>
      <c r="D28" s="40" t="s">
        <v>117</v>
      </c>
      <c r="E28" s="20"/>
    </row>
    <row r="29" spans="1:5" ht="14.1" customHeight="1">
      <c r="A29" s="324" t="s">
        <v>165</v>
      </c>
      <c r="B29" s="131">
        <v>9063.5</v>
      </c>
      <c r="C29" s="325">
        <v>65</v>
      </c>
      <c r="D29" s="40" t="s">
        <v>205</v>
      </c>
      <c r="E29" s="20"/>
    </row>
    <row r="30" spans="1:5" ht="14.1" customHeight="1">
      <c r="A30" s="324" t="s">
        <v>118</v>
      </c>
      <c r="B30" s="131">
        <v>17411.3</v>
      </c>
      <c r="C30" s="325">
        <v>98</v>
      </c>
      <c r="D30" s="40" t="s">
        <v>119</v>
      </c>
      <c r="E30" s="20"/>
    </row>
    <row r="31" spans="1:5" ht="14.1" customHeight="1">
      <c r="A31" s="324" t="s">
        <v>120</v>
      </c>
      <c r="B31" s="131">
        <v>187158.2</v>
      </c>
      <c r="C31" s="325">
        <v>474</v>
      </c>
      <c r="D31" s="20" t="s">
        <v>121</v>
      </c>
      <c r="E31" s="20"/>
    </row>
    <row r="32" spans="1:5" ht="14.1" customHeight="1">
      <c r="A32" s="324" t="s">
        <v>122</v>
      </c>
      <c r="B32" s="131">
        <v>34308.800000000003</v>
      </c>
      <c r="C32" s="325">
        <v>174</v>
      </c>
      <c r="D32" s="20" t="s">
        <v>123</v>
      </c>
      <c r="E32" s="20"/>
    </row>
    <row r="33" spans="1:9" ht="103.5">
      <c r="A33" s="326" t="s">
        <v>322</v>
      </c>
      <c r="B33" s="131">
        <v>214324.8</v>
      </c>
      <c r="C33" s="325">
        <v>568</v>
      </c>
      <c r="D33" s="327" t="s">
        <v>328</v>
      </c>
      <c r="E33" s="20"/>
    </row>
    <row r="34" spans="1:9" s="12" customFormat="1">
      <c r="A34" s="328" t="s">
        <v>147</v>
      </c>
      <c r="B34" s="5"/>
      <c r="C34" s="317"/>
      <c r="D34" s="329"/>
    </row>
    <row r="35" spans="1:9" s="12" customFormat="1">
      <c r="A35" s="330" t="s">
        <v>47</v>
      </c>
      <c r="B35" s="145">
        <v>163379.5</v>
      </c>
      <c r="C35" s="316">
        <v>831</v>
      </c>
      <c r="D35" s="331" t="s">
        <v>24</v>
      </c>
    </row>
    <row r="36" spans="1:9" ht="14.1" customHeight="1">
      <c r="A36" s="332" t="s">
        <v>76</v>
      </c>
      <c r="B36" s="131">
        <v>7272.1</v>
      </c>
      <c r="C36" s="325">
        <v>30</v>
      </c>
      <c r="D36" s="333" t="s">
        <v>76</v>
      </c>
    </row>
    <row r="37" spans="1:9" ht="14.1" customHeight="1">
      <c r="A37" s="332" t="s">
        <v>102</v>
      </c>
      <c r="B37" s="131">
        <v>34130.699999999997</v>
      </c>
      <c r="C37" s="325">
        <v>179</v>
      </c>
      <c r="D37" s="334" t="s">
        <v>103</v>
      </c>
    </row>
    <row r="38" spans="1:9" ht="63.75">
      <c r="A38" s="335" t="s">
        <v>264</v>
      </c>
      <c r="B38" s="131">
        <v>121976.7</v>
      </c>
      <c r="C38" s="325">
        <v>622</v>
      </c>
      <c r="D38" s="334" t="s">
        <v>234</v>
      </c>
    </row>
    <row r="39" spans="1:9" s="12" customFormat="1">
      <c r="A39" s="336" t="s">
        <v>149</v>
      </c>
      <c r="B39" s="5"/>
      <c r="C39" s="317"/>
      <c r="D39" s="329"/>
    </row>
    <row r="40" spans="1:9" s="12" customFormat="1">
      <c r="A40" s="330" t="s">
        <v>47</v>
      </c>
      <c r="B40" s="145">
        <v>177574.1</v>
      </c>
      <c r="C40" s="316">
        <v>809</v>
      </c>
      <c r="D40" s="331" t="s">
        <v>24</v>
      </c>
    </row>
    <row r="41" spans="1:9">
      <c r="A41" s="332" t="s">
        <v>102</v>
      </c>
      <c r="B41" s="131">
        <v>59028.800000000003</v>
      </c>
      <c r="C41" s="325">
        <v>254</v>
      </c>
      <c r="D41" s="337" t="s">
        <v>103</v>
      </c>
      <c r="E41" s="338"/>
      <c r="F41" s="338"/>
      <c r="I41" s="338"/>
    </row>
    <row r="42" spans="1:9">
      <c r="A42" s="332" t="s">
        <v>114</v>
      </c>
      <c r="B42" s="131">
        <v>27137</v>
      </c>
      <c r="C42" s="325">
        <v>89</v>
      </c>
      <c r="D42" s="337" t="s">
        <v>115</v>
      </c>
      <c r="E42" s="338"/>
      <c r="F42" s="338"/>
      <c r="I42" s="338"/>
    </row>
    <row r="43" spans="1:9" ht="38.25">
      <c r="A43" s="335" t="s">
        <v>265</v>
      </c>
      <c r="B43" s="131">
        <v>91408.3</v>
      </c>
      <c r="C43" s="325">
        <v>466</v>
      </c>
      <c r="D43" s="339" t="s">
        <v>235</v>
      </c>
      <c r="E43" s="338"/>
      <c r="F43" s="338"/>
      <c r="I43" s="338"/>
    </row>
    <row r="44" spans="1:9" s="12" customFormat="1">
      <c r="A44" s="336" t="s">
        <v>150</v>
      </c>
      <c r="B44" s="5"/>
      <c r="C44" s="317"/>
      <c r="D44" s="329"/>
    </row>
    <row r="45" spans="1:9">
      <c r="A45" s="330" t="s">
        <v>47</v>
      </c>
      <c r="B45" s="145" t="s">
        <v>145</v>
      </c>
      <c r="C45" s="316">
        <v>646</v>
      </c>
      <c r="D45" s="331" t="s">
        <v>24</v>
      </c>
    </row>
    <row r="46" spans="1:9" ht="14.1" customHeight="1">
      <c r="A46" s="332" t="s">
        <v>77</v>
      </c>
      <c r="B46" s="131">
        <v>9140</v>
      </c>
      <c r="C46" s="325">
        <v>47</v>
      </c>
      <c r="D46" s="333" t="s">
        <v>78</v>
      </c>
    </row>
    <row r="47" spans="1:9" ht="14.1" customHeight="1">
      <c r="A47" s="332" t="s">
        <v>86</v>
      </c>
      <c r="B47" s="131">
        <v>19726.900000000001</v>
      </c>
      <c r="C47" s="325">
        <v>100</v>
      </c>
      <c r="D47" s="294" t="s">
        <v>87</v>
      </c>
    </row>
    <row r="48" spans="1:9" ht="14.1" customHeight="1">
      <c r="A48" s="332" t="s">
        <v>102</v>
      </c>
      <c r="B48" s="131">
        <v>38148.199999999997</v>
      </c>
      <c r="C48" s="325">
        <v>197</v>
      </c>
      <c r="D48" s="337" t="s">
        <v>103</v>
      </c>
    </row>
    <row r="49" spans="1:9" s="12" customFormat="1">
      <c r="A49" s="336" t="s">
        <v>151</v>
      </c>
      <c r="B49" s="5"/>
      <c r="C49" s="317"/>
      <c r="D49" s="340"/>
    </row>
    <row r="50" spans="1:9" s="12" customFormat="1">
      <c r="A50" s="330" t="s">
        <v>47</v>
      </c>
      <c r="B50" s="5">
        <v>90762.5</v>
      </c>
      <c r="C50" s="317">
        <v>358</v>
      </c>
      <c r="D50" s="331" t="s">
        <v>24</v>
      </c>
    </row>
    <row r="51" spans="1:9">
      <c r="A51" s="332" t="s">
        <v>102</v>
      </c>
      <c r="B51" s="131">
        <v>65206.400000000001</v>
      </c>
      <c r="C51" s="325">
        <v>236</v>
      </c>
      <c r="D51" s="337" t="s">
        <v>103</v>
      </c>
      <c r="E51" s="341"/>
      <c r="F51" s="342"/>
      <c r="G51" s="338"/>
      <c r="H51" s="338"/>
      <c r="I51" s="338"/>
    </row>
    <row r="52" spans="1:9" ht="38.25">
      <c r="A52" s="335" t="s">
        <v>266</v>
      </c>
      <c r="B52" s="131">
        <v>25556.1</v>
      </c>
      <c r="C52" s="325">
        <v>122</v>
      </c>
      <c r="D52" s="339" t="s">
        <v>236</v>
      </c>
      <c r="E52" s="341"/>
      <c r="F52" s="342"/>
      <c r="G52" s="338"/>
      <c r="H52" s="338"/>
      <c r="I52" s="338"/>
    </row>
    <row r="53" spans="1:9" s="12" customFormat="1">
      <c r="A53" s="336" t="s">
        <v>152</v>
      </c>
      <c r="B53" s="5"/>
      <c r="C53" s="317"/>
      <c r="D53" s="343"/>
    </row>
    <row r="54" spans="1:9" s="12" customFormat="1">
      <c r="A54" s="330" t="s">
        <v>47</v>
      </c>
      <c r="B54" s="145">
        <v>142879.5</v>
      </c>
      <c r="C54" s="316" t="s">
        <v>166</v>
      </c>
      <c r="D54" s="331" t="s">
        <v>24</v>
      </c>
    </row>
    <row r="55" spans="1:9">
      <c r="A55" s="332" t="s">
        <v>90</v>
      </c>
      <c r="B55" s="131">
        <v>8534</v>
      </c>
      <c r="C55" s="325">
        <v>35</v>
      </c>
      <c r="D55" s="344" t="s">
        <v>91</v>
      </c>
      <c r="E55" s="341"/>
      <c r="G55" s="338"/>
    </row>
    <row r="56" spans="1:9" ht="41.25" customHeight="1">
      <c r="A56" s="335" t="s">
        <v>168</v>
      </c>
      <c r="B56" s="131">
        <v>134345.5</v>
      </c>
      <c r="C56" s="325">
        <v>506</v>
      </c>
      <c r="D56" s="339" t="s">
        <v>237</v>
      </c>
      <c r="E56" s="341"/>
      <c r="G56" s="338"/>
    </row>
    <row r="57" spans="1:9" s="12" customFormat="1">
      <c r="A57" s="336" t="s">
        <v>153</v>
      </c>
      <c r="B57" s="5"/>
      <c r="C57" s="345"/>
      <c r="D57" s="343"/>
    </row>
    <row r="58" spans="1:9" s="12" customFormat="1">
      <c r="A58" s="330" t="s">
        <v>47</v>
      </c>
      <c r="B58" s="145">
        <v>680762.1</v>
      </c>
      <c r="C58" s="345" t="s">
        <v>169</v>
      </c>
      <c r="D58" s="331" t="s">
        <v>24</v>
      </c>
    </row>
    <row r="59" spans="1:9">
      <c r="A59" s="332" t="s">
        <v>76</v>
      </c>
      <c r="B59" s="131">
        <v>11204.1</v>
      </c>
      <c r="C59" s="346">
        <v>48</v>
      </c>
      <c r="D59" s="344" t="s">
        <v>76</v>
      </c>
      <c r="F59" s="342"/>
    </row>
    <row r="60" spans="1:9">
      <c r="A60" s="332" t="s">
        <v>77</v>
      </c>
      <c r="B60" s="131">
        <v>30776.7</v>
      </c>
      <c r="C60" s="346">
        <v>150</v>
      </c>
      <c r="D60" s="333" t="s">
        <v>78</v>
      </c>
      <c r="F60" s="342"/>
    </row>
    <row r="61" spans="1:9">
      <c r="A61" s="332" t="s">
        <v>164</v>
      </c>
      <c r="B61" s="131">
        <v>13342.7</v>
      </c>
      <c r="C61" s="346">
        <v>77</v>
      </c>
      <c r="D61" s="294" t="s">
        <v>81</v>
      </c>
      <c r="F61" s="342"/>
    </row>
    <row r="62" spans="1:9">
      <c r="A62" s="332" t="s">
        <v>102</v>
      </c>
      <c r="B62" s="131">
        <v>421496.8</v>
      </c>
      <c r="C62" s="346">
        <v>2262</v>
      </c>
      <c r="D62" s="337" t="s">
        <v>103</v>
      </c>
      <c r="F62" s="342"/>
    </row>
    <row r="63" spans="1:9">
      <c r="A63" s="332" t="s">
        <v>86</v>
      </c>
      <c r="B63" s="131">
        <v>36052.699999999997</v>
      </c>
      <c r="C63" s="346">
        <v>187</v>
      </c>
      <c r="D63" s="344" t="s">
        <v>87</v>
      </c>
      <c r="F63" s="342"/>
    </row>
    <row r="64" spans="1:9">
      <c r="A64" s="332" t="s">
        <v>120</v>
      </c>
      <c r="B64" s="131">
        <v>5608.2</v>
      </c>
      <c r="C64" s="346">
        <v>21</v>
      </c>
      <c r="D64" s="344" t="s">
        <v>121</v>
      </c>
      <c r="F64" s="342"/>
    </row>
    <row r="65" spans="1:6">
      <c r="A65" s="332" t="s">
        <v>90</v>
      </c>
      <c r="B65" s="131">
        <v>31729.4</v>
      </c>
      <c r="C65" s="346">
        <v>137</v>
      </c>
      <c r="D65" s="344" t="s">
        <v>91</v>
      </c>
      <c r="F65" s="342"/>
    </row>
    <row r="66" spans="1:6">
      <c r="A66" s="332" t="s">
        <v>104</v>
      </c>
      <c r="B66" s="131">
        <v>1810</v>
      </c>
      <c r="C66" s="346">
        <v>9</v>
      </c>
      <c r="D66" s="344" t="s">
        <v>105</v>
      </c>
      <c r="F66" s="342"/>
    </row>
    <row r="67" spans="1:6">
      <c r="A67" s="332" t="s">
        <v>108</v>
      </c>
      <c r="B67" s="131">
        <v>10388.1</v>
      </c>
      <c r="C67" s="346">
        <v>77</v>
      </c>
      <c r="D67" s="344" t="s">
        <v>109</v>
      </c>
      <c r="F67" s="342"/>
    </row>
    <row r="68" spans="1:6" ht="63.75">
      <c r="A68" s="335" t="s">
        <v>329</v>
      </c>
      <c r="B68" s="131">
        <v>118353.4</v>
      </c>
      <c r="C68" s="347">
        <v>403</v>
      </c>
      <c r="D68" s="344" t="s">
        <v>238</v>
      </c>
      <c r="F68" s="342"/>
    </row>
    <row r="69" spans="1:6" s="12" customFormat="1">
      <c r="A69" s="336" t="s">
        <v>154</v>
      </c>
      <c r="B69" s="5"/>
      <c r="C69" s="348"/>
      <c r="D69" s="340"/>
    </row>
    <row r="70" spans="1:6" s="12" customFormat="1">
      <c r="A70" s="330" t="s">
        <v>47</v>
      </c>
      <c r="B70" s="145">
        <v>902065.1</v>
      </c>
      <c r="C70" s="348">
        <v>4787</v>
      </c>
      <c r="D70" s="331" t="s">
        <v>24</v>
      </c>
    </row>
    <row r="71" spans="1:6">
      <c r="A71" s="332" t="s">
        <v>76</v>
      </c>
      <c r="B71" s="131">
        <v>1302.0999999999999</v>
      </c>
      <c r="C71" s="347">
        <v>9</v>
      </c>
      <c r="D71" s="344" t="s">
        <v>76</v>
      </c>
    </row>
    <row r="72" spans="1:6">
      <c r="A72" s="332" t="s">
        <v>77</v>
      </c>
      <c r="B72" s="131">
        <v>134241.70000000001</v>
      </c>
      <c r="C72" s="347">
        <v>737</v>
      </c>
      <c r="D72" s="333" t="s">
        <v>78</v>
      </c>
    </row>
    <row r="73" spans="1:6">
      <c r="A73" s="332" t="s">
        <v>82</v>
      </c>
      <c r="B73" s="131">
        <v>6793.8</v>
      </c>
      <c r="C73" s="347">
        <v>38</v>
      </c>
      <c r="D73" s="344" t="s">
        <v>83</v>
      </c>
    </row>
    <row r="74" spans="1:6">
      <c r="A74" s="332" t="s">
        <v>84</v>
      </c>
      <c r="B74" s="131">
        <v>51041.5</v>
      </c>
      <c r="C74" s="325">
        <v>295</v>
      </c>
      <c r="D74" s="344" t="s">
        <v>85</v>
      </c>
    </row>
    <row r="75" spans="1:6">
      <c r="A75" s="332" t="s">
        <v>86</v>
      </c>
      <c r="B75" s="131">
        <v>61927.6</v>
      </c>
      <c r="C75" s="325">
        <v>389</v>
      </c>
      <c r="D75" s="344" t="s">
        <v>87</v>
      </c>
    </row>
    <row r="76" spans="1:6">
      <c r="A76" s="332" t="s">
        <v>96</v>
      </c>
      <c r="B76" s="131">
        <v>21123.200000000001</v>
      </c>
      <c r="C76" s="325">
        <v>65</v>
      </c>
      <c r="D76" s="344" t="s">
        <v>97</v>
      </c>
    </row>
    <row r="77" spans="1:6">
      <c r="A77" s="332" t="s">
        <v>90</v>
      </c>
      <c r="B77" s="131">
        <v>18053</v>
      </c>
      <c r="C77" s="325">
        <v>133</v>
      </c>
      <c r="D77" s="344" t="s">
        <v>91</v>
      </c>
    </row>
    <row r="78" spans="1:6">
      <c r="A78" s="332" t="s">
        <v>102</v>
      </c>
      <c r="B78" s="131">
        <v>362370.3</v>
      </c>
      <c r="C78" s="325">
        <v>1981</v>
      </c>
      <c r="D78" s="337" t="s">
        <v>103</v>
      </c>
    </row>
    <row r="79" spans="1:6">
      <c r="A79" s="332" t="s">
        <v>104</v>
      </c>
      <c r="B79" s="131">
        <v>55251.5</v>
      </c>
      <c r="C79" s="325">
        <v>254</v>
      </c>
      <c r="D79" s="344" t="s">
        <v>105</v>
      </c>
    </row>
    <row r="80" spans="1:6">
      <c r="A80" s="332" t="s">
        <v>164</v>
      </c>
      <c r="B80" s="131">
        <v>712.4</v>
      </c>
      <c r="C80" s="325">
        <v>7</v>
      </c>
      <c r="D80" s="344" t="s">
        <v>81</v>
      </c>
    </row>
    <row r="81" spans="1:5">
      <c r="A81" s="332" t="s">
        <v>114</v>
      </c>
      <c r="B81" s="131">
        <v>111475.2</v>
      </c>
      <c r="C81" s="325">
        <v>487</v>
      </c>
      <c r="D81" s="337" t="s">
        <v>115</v>
      </c>
    </row>
    <row r="82" spans="1:5" ht="90.75" customHeight="1">
      <c r="A82" s="335" t="s">
        <v>330</v>
      </c>
      <c r="B82" s="131">
        <v>77772.800000000003</v>
      </c>
      <c r="C82" s="325">
        <v>392</v>
      </c>
      <c r="D82" s="349" t="s">
        <v>239</v>
      </c>
    </row>
    <row r="83" spans="1:5" s="12" customFormat="1">
      <c r="A83" s="336" t="s">
        <v>155</v>
      </c>
      <c r="B83" s="5"/>
      <c r="C83" s="317"/>
      <c r="D83" s="340"/>
    </row>
    <row r="84" spans="1:5" s="12" customFormat="1">
      <c r="A84" s="330" t="s">
        <v>47</v>
      </c>
      <c r="B84" s="145">
        <v>975967.1</v>
      </c>
      <c r="C84" s="316">
        <v>4109</v>
      </c>
      <c r="D84" s="331" t="s">
        <v>24</v>
      </c>
    </row>
    <row r="85" spans="1:5">
      <c r="A85" s="332" t="s">
        <v>102</v>
      </c>
      <c r="B85" s="131">
        <v>627381</v>
      </c>
      <c r="C85" s="325">
        <v>2823</v>
      </c>
      <c r="D85" s="337" t="s">
        <v>103</v>
      </c>
      <c r="E85" s="338"/>
    </row>
    <row r="86" spans="1:5" ht="51">
      <c r="A86" s="335" t="s">
        <v>267</v>
      </c>
      <c r="B86" s="131">
        <v>348586.1</v>
      </c>
      <c r="C86" s="325">
        <v>1286</v>
      </c>
      <c r="D86" s="339" t="s">
        <v>240</v>
      </c>
      <c r="E86" s="338"/>
    </row>
    <row r="87" spans="1:5" s="12" customFormat="1">
      <c r="A87" s="336" t="s">
        <v>156</v>
      </c>
      <c r="B87" s="5"/>
      <c r="C87" s="317"/>
      <c r="D87" s="340"/>
    </row>
    <row r="88" spans="1:5" s="12" customFormat="1">
      <c r="A88" s="330" t="s">
        <v>47</v>
      </c>
      <c r="B88" s="145">
        <v>276301.2</v>
      </c>
      <c r="C88" s="316">
        <v>1365</v>
      </c>
      <c r="D88" s="331" t="s">
        <v>24</v>
      </c>
    </row>
    <row r="89" spans="1:5">
      <c r="A89" s="332" t="s">
        <v>77</v>
      </c>
      <c r="B89" s="131">
        <v>10057.1</v>
      </c>
      <c r="C89" s="325">
        <v>58</v>
      </c>
      <c r="D89" s="333" t="s">
        <v>78</v>
      </c>
    </row>
    <row r="90" spans="1:5">
      <c r="A90" s="332" t="s">
        <v>86</v>
      </c>
      <c r="B90" s="131">
        <v>22733.200000000001</v>
      </c>
      <c r="C90" s="325">
        <v>91</v>
      </c>
      <c r="D90" s="344" t="s">
        <v>87</v>
      </c>
    </row>
    <row r="91" spans="1:5">
      <c r="A91" s="332" t="s">
        <v>102</v>
      </c>
      <c r="B91" s="131">
        <v>130090.4</v>
      </c>
      <c r="C91" s="325">
        <v>622</v>
      </c>
      <c r="D91" s="337" t="s">
        <v>103</v>
      </c>
    </row>
    <row r="92" spans="1:5">
      <c r="A92" s="332" t="s">
        <v>104</v>
      </c>
      <c r="B92" s="131">
        <v>10698.4</v>
      </c>
      <c r="C92" s="325">
        <v>35</v>
      </c>
      <c r="D92" s="344" t="s">
        <v>105</v>
      </c>
    </row>
    <row r="93" spans="1:5">
      <c r="A93" s="332" t="s">
        <v>108</v>
      </c>
      <c r="B93" s="131">
        <v>44034.1</v>
      </c>
      <c r="C93" s="325">
        <v>211</v>
      </c>
      <c r="D93" s="344" t="s">
        <v>109</v>
      </c>
    </row>
    <row r="94" spans="1:5">
      <c r="A94" s="332" t="s">
        <v>120</v>
      </c>
      <c r="B94" s="131">
        <v>6867.4</v>
      </c>
      <c r="C94" s="325">
        <v>34</v>
      </c>
      <c r="D94" s="344" t="s">
        <v>121</v>
      </c>
    </row>
    <row r="95" spans="1:5" ht="38.25">
      <c r="A95" s="335" t="s">
        <v>268</v>
      </c>
      <c r="B95" s="131">
        <v>51820.6</v>
      </c>
      <c r="C95" s="325">
        <v>314</v>
      </c>
      <c r="D95" s="349" t="s">
        <v>232</v>
      </c>
    </row>
    <row r="96" spans="1:5" s="12" customFormat="1">
      <c r="A96" s="336" t="s">
        <v>157</v>
      </c>
      <c r="B96" s="5"/>
      <c r="C96" s="317"/>
      <c r="D96" s="340"/>
    </row>
    <row r="97" spans="1:5">
      <c r="A97" s="330" t="s">
        <v>47</v>
      </c>
      <c r="B97" s="145" t="s">
        <v>145</v>
      </c>
      <c r="C97" s="317">
        <v>916</v>
      </c>
      <c r="D97" s="340" t="s">
        <v>24</v>
      </c>
    </row>
    <row r="98" spans="1:5" s="12" customFormat="1">
      <c r="A98" s="336" t="s">
        <v>158</v>
      </c>
      <c r="B98" s="5"/>
      <c r="C98" s="317"/>
      <c r="D98" s="340"/>
    </row>
    <row r="99" spans="1:5" s="12" customFormat="1">
      <c r="A99" s="330" t="s">
        <v>47</v>
      </c>
      <c r="B99" s="145">
        <v>198934.6</v>
      </c>
      <c r="C99" s="316">
        <v>921</v>
      </c>
      <c r="D99" s="331" t="s">
        <v>24</v>
      </c>
    </row>
    <row r="100" spans="1:5">
      <c r="A100" s="332" t="s">
        <v>77</v>
      </c>
      <c r="B100" s="131">
        <v>37918</v>
      </c>
      <c r="C100" s="325">
        <v>197</v>
      </c>
      <c r="D100" s="344" t="s">
        <v>78</v>
      </c>
      <c r="E100" s="338"/>
    </row>
    <row r="101" spans="1:5">
      <c r="A101" s="332" t="s">
        <v>86</v>
      </c>
      <c r="B101" s="131">
        <v>16673.599999999999</v>
      </c>
      <c r="C101" s="325">
        <v>67</v>
      </c>
      <c r="D101" s="344" t="s">
        <v>87</v>
      </c>
      <c r="E101" s="338"/>
    </row>
    <row r="102" spans="1:5">
      <c r="A102" s="332" t="s">
        <v>102</v>
      </c>
      <c r="B102" s="131">
        <v>76003</v>
      </c>
      <c r="C102" s="325">
        <v>414</v>
      </c>
      <c r="D102" s="337" t="s">
        <v>103</v>
      </c>
      <c r="E102" s="338"/>
    </row>
    <row r="103" spans="1:5">
      <c r="A103" s="332" t="s">
        <v>114</v>
      </c>
      <c r="B103" s="131">
        <v>21698.2</v>
      </c>
      <c r="C103" s="325">
        <v>90</v>
      </c>
      <c r="D103" s="344" t="s">
        <v>115</v>
      </c>
      <c r="E103" s="338"/>
    </row>
    <row r="104" spans="1:5">
      <c r="A104" s="332" t="s">
        <v>120</v>
      </c>
      <c r="B104" s="131">
        <v>2434.3000000000002</v>
      </c>
      <c r="C104" s="325">
        <v>15</v>
      </c>
      <c r="D104" s="344" t="s">
        <v>121</v>
      </c>
      <c r="E104" s="338"/>
    </row>
    <row r="105" spans="1:5" ht="54" customHeight="1">
      <c r="A105" s="335" t="s">
        <v>269</v>
      </c>
      <c r="B105" s="131">
        <v>44207.5</v>
      </c>
      <c r="C105" s="325">
        <v>138</v>
      </c>
      <c r="D105" s="349" t="s">
        <v>241</v>
      </c>
      <c r="E105" s="338"/>
    </row>
    <row r="106" spans="1:5" s="12" customFormat="1">
      <c r="A106" s="336" t="s">
        <v>159</v>
      </c>
      <c r="B106" s="5"/>
      <c r="C106" s="317"/>
      <c r="D106" s="340"/>
    </row>
    <row r="107" spans="1:5" s="12" customFormat="1">
      <c r="A107" s="330" t="s">
        <v>47</v>
      </c>
      <c r="B107" s="145">
        <v>596244.19999999995</v>
      </c>
      <c r="C107" s="316">
        <v>2184</v>
      </c>
      <c r="D107" s="331" t="s">
        <v>24</v>
      </c>
    </row>
    <row r="108" spans="1:5">
      <c r="A108" s="332" t="s">
        <v>76</v>
      </c>
      <c r="B108" s="131">
        <v>45231</v>
      </c>
      <c r="C108" s="325">
        <v>194</v>
      </c>
      <c r="D108" s="344" t="s">
        <v>76</v>
      </c>
    </row>
    <row r="109" spans="1:5">
      <c r="A109" s="332" t="s">
        <v>77</v>
      </c>
      <c r="B109" s="131">
        <v>29458.5</v>
      </c>
      <c r="C109" s="325">
        <v>136</v>
      </c>
      <c r="D109" s="333" t="s">
        <v>78</v>
      </c>
    </row>
    <row r="110" spans="1:5">
      <c r="A110" s="332" t="s">
        <v>86</v>
      </c>
      <c r="B110" s="131">
        <v>21093.9</v>
      </c>
      <c r="C110" s="325">
        <v>90</v>
      </c>
      <c r="D110" s="344" t="s">
        <v>87</v>
      </c>
    </row>
    <row r="111" spans="1:5">
      <c r="A111" s="332" t="s">
        <v>90</v>
      </c>
      <c r="B111" s="131">
        <v>9195.5</v>
      </c>
      <c r="C111" s="325">
        <v>39</v>
      </c>
      <c r="D111" s="344" t="s">
        <v>91</v>
      </c>
    </row>
    <row r="112" spans="1:5">
      <c r="A112" s="332" t="s">
        <v>102</v>
      </c>
      <c r="B112" s="131">
        <v>224750.2</v>
      </c>
      <c r="C112" s="325">
        <v>1076</v>
      </c>
      <c r="D112" s="337" t="s">
        <v>103</v>
      </c>
    </row>
    <row r="113" spans="1:7">
      <c r="A113" s="332" t="s">
        <v>104</v>
      </c>
      <c r="B113" s="131">
        <v>703.7</v>
      </c>
      <c r="C113" s="325">
        <v>2</v>
      </c>
      <c r="D113" s="344" t="s">
        <v>105</v>
      </c>
    </row>
    <row r="114" spans="1:7">
      <c r="A114" s="332" t="s">
        <v>108</v>
      </c>
      <c r="B114" s="131">
        <v>2637</v>
      </c>
      <c r="C114" s="325">
        <v>14</v>
      </c>
      <c r="D114" s="344" t="s">
        <v>109</v>
      </c>
    </row>
    <row r="115" spans="1:7" ht="76.5">
      <c r="A115" s="335" t="s">
        <v>170</v>
      </c>
      <c r="B115" s="131">
        <v>263174.40000000002</v>
      </c>
      <c r="C115" s="325">
        <v>633</v>
      </c>
      <c r="D115" s="349" t="s">
        <v>242</v>
      </c>
    </row>
    <row r="116" spans="1:7" s="12" customFormat="1">
      <c r="A116" s="336" t="s">
        <v>160</v>
      </c>
      <c r="B116" s="5"/>
      <c r="C116" s="317"/>
      <c r="D116" s="340"/>
    </row>
    <row r="117" spans="1:7" s="12" customFormat="1">
      <c r="A117" s="330" t="s">
        <v>47</v>
      </c>
      <c r="B117" s="145">
        <v>98892.1</v>
      </c>
      <c r="C117" s="316">
        <v>463</v>
      </c>
      <c r="D117" s="331" t="s">
        <v>24</v>
      </c>
    </row>
    <row r="118" spans="1:7">
      <c r="A118" s="332" t="s">
        <v>90</v>
      </c>
      <c r="B118" s="131">
        <v>4242.8</v>
      </c>
      <c r="C118" s="325">
        <v>21</v>
      </c>
      <c r="D118" s="344" t="s">
        <v>91</v>
      </c>
    </row>
    <row r="119" spans="1:7">
      <c r="A119" s="332" t="s">
        <v>102</v>
      </c>
      <c r="B119" s="131">
        <v>43179.5</v>
      </c>
      <c r="C119" s="325">
        <v>226</v>
      </c>
      <c r="D119" s="337" t="s">
        <v>103</v>
      </c>
    </row>
    <row r="120" spans="1:7" ht="38.25">
      <c r="A120" s="335" t="s">
        <v>171</v>
      </c>
      <c r="B120" s="131">
        <v>51469.8</v>
      </c>
      <c r="C120" s="325">
        <v>216</v>
      </c>
      <c r="D120" s="333" t="s">
        <v>243</v>
      </c>
    </row>
    <row r="121" spans="1:7" s="12" customFormat="1">
      <c r="A121" s="336" t="s">
        <v>161</v>
      </c>
      <c r="B121" s="5"/>
      <c r="C121" s="317"/>
      <c r="D121" s="340"/>
    </row>
    <row r="122" spans="1:7" s="12" customFormat="1">
      <c r="A122" s="330" t="s">
        <v>47</v>
      </c>
      <c r="B122" s="191">
        <v>38580.300000000003</v>
      </c>
      <c r="C122" s="350">
        <v>166</v>
      </c>
      <c r="D122" s="331" t="s">
        <v>24</v>
      </c>
    </row>
    <row r="123" spans="1:7">
      <c r="A123" s="332" t="s">
        <v>102</v>
      </c>
      <c r="B123" s="131">
        <v>11758.9</v>
      </c>
      <c r="C123" s="325">
        <v>46</v>
      </c>
      <c r="D123" s="344" t="s">
        <v>103</v>
      </c>
      <c r="G123" s="338"/>
    </row>
    <row r="124" spans="1:7" ht="36.75" customHeight="1">
      <c r="A124" s="335" t="s">
        <v>172</v>
      </c>
      <c r="B124" s="131">
        <v>26821.4</v>
      </c>
      <c r="C124" s="325">
        <v>120</v>
      </c>
      <c r="D124" s="333" t="s">
        <v>244</v>
      </c>
      <c r="G124" s="338"/>
    </row>
    <row r="125" spans="1:7" s="12" customFormat="1">
      <c r="A125" s="336" t="s">
        <v>162</v>
      </c>
      <c r="B125" s="5"/>
      <c r="C125" s="317"/>
      <c r="D125" s="343"/>
    </row>
    <row r="126" spans="1:7" s="12" customFormat="1">
      <c r="A126" s="330" t="s">
        <v>47</v>
      </c>
      <c r="B126" s="145">
        <v>317224.2</v>
      </c>
      <c r="C126" s="316" t="s">
        <v>167</v>
      </c>
      <c r="D126" s="331" t="s">
        <v>24</v>
      </c>
    </row>
    <row r="127" spans="1:7">
      <c r="A127" s="332" t="s">
        <v>77</v>
      </c>
      <c r="B127" s="131">
        <v>12212.7</v>
      </c>
      <c r="C127" s="325">
        <v>93</v>
      </c>
      <c r="D127" s="344" t="s">
        <v>233</v>
      </c>
    </row>
    <row r="128" spans="1:7">
      <c r="A128" s="332" t="s">
        <v>86</v>
      </c>
      <c r="B128" s="131">
        <v>5266.7</v>
      </c>
      <c r="C128" s="325">
        <v>21</v>
      </c>
      <c r="D128" s="344" t="s">
        <v>87</v>
      </c>
    </row>
    <row r="129" spans="1:4">
      <c r="A129" s="332" t="s">
        <v>90</v>
      </c>
      <c r="B129" s="131">
        <v>13175.3</v>
      </c>
      <c r="C129" s="325">
        <v>79</v>
      </c>
      <c r="D129" s="344" t="s">
        <v>91</v>
      </c>
    </row>
    <row r="130" spans="1:4">
      <c r="A130" s="332" t="s">
        <v>102</v>
      </c>
      <c r="B130" s="131">
        <v>72550.899999999994</v>
      </c>
      <c r="C130" s="325">
        <v>377</v>
      </c>
      <c r="D130" s="337" t="s">
        <v>103</v>
      </c>
    </row>
    <row r="131" spans="1:4">
      <c r="A131" s="332" t="s">
        <v>108</v>
      </c>
      <c r="B131" s="131">
        <v>5141.3999999999996</v>
      </c>
      <c r="C131" s="325">
        <v>9</v>
      </c>
      <c r="D131" s="344" t="s">
        <v>109</v>
      </c>
    </row>
    <row r="132" spans="1:4" ht="38.25">
      <c r="A132" s="335" t="s">
        <v>173</v>
      </c>
      <c r="B132" s="131">
        <v>208877.2</v>
      </c>
      <c r="C132" s="325">
        <v>470</v>
      </c>
      <c r="D132" s="349" t="s">
        <v>245</v>
      </c>
    </row>
    <row r="133" spans="1:4" s="12" customFormat="1">
      <c r="A133" s="336" t="s">
        <v>163</v>
      </c>
      <c r="B133" s="5"/>
      <c r="C133" s="317"/>
      <c r="D133" s="340"/>
    </row>
    <row r="134" spans="1:4" s="12" customFormat="1">
      <c r="A134" s="330" t="s">
        <v>47</v>
      </c>
      <c r="B134" s="145">
        <v>93152.5</v>
      </c>
      <c r="C134" s="316">
        <v>374</v>
      </c>
      <c r="D134" s="331" t="s">
        <v>24</v>
      </c>
    </row>
    <row r="135" spans="1:4">
      <c r="A135" s="332" t="s">
        <v>102</v>
      </c>
      <c r="B135" s="131">
        <v>27560.2</v>
      </c>
      <c r="C135" s="347">
        <v>105</v>
      </c>
      <c r="D135" s="337" t="s">
        <v>103</v>
      </c>
    </row>
    <row r="136" spans="1:4">
      <c r="A136" s="332" t="s">
        <v>114</v>
      </c>
      <c r="B136" s="131">
        <v>34065.699999999997</v>
      </c>
      <c r="C136" s="347">
        <v>140</v>
      </c>
      <c r="D136" s="337" t="s">
        <v>115</v>
      </c>
    </row>
    <row r="137" spans="1:4" ht="25.5">
      <c r="A137" s="335" t="s">
        <v>270</v>
      </c>
      <c r="B137" s="26">
        <v>31526.6</v>
      </c>
      <c r="C137" s="309">
        <v>129</v>
      </c>
      <c r="D137" s="339" t="s">
        <v>246</v>
      </c>
    </row>
  </sheetData>
  <mergeCells count="6">
    <mergeCell ref="A2:D2"/>
    <mergeCell ref="A3:D3"/>
    <mergeCell ref="A4:A5"/>
    <mergeCell ref="B4:B5"/>
    <mergeCell ref="C4:C5"/>
    <mergeCell ref="D4:D5"/>
  </mergeCells>
  <pageMargins left="0.23622047244094491" right="0.23622047244094491" top="0.74803149606299213" bottom="0.74803149606299213" header="0.31496062992125984" footer="0.31496062992125984"/>
  <pageSetup paperSize="9" orientation="landscape" r:id="rId1"/>
  <rowBreaks count="7" manualBreakCount="7">
    <brk id="38" max="16383" man="1"/>
    <brk id="52" max="16383" man="1"/>
    <brk id="68" max="16383" man="1"/>
    <brk id="82" max="16383" man="1"/>
    <brk id="95" max="16383" man="1"/>
    <brk id="105" max="16383" man="1"/>
    <brk id="120" max="16383" man="1"/>
  </rowBreaks>
  <ignoredErrors>
    <ignoredError sqref="C12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8"/>
  <sheetViews>
    <sheetView zoomScaleNormal="100" workbookViewId="0"/>
  </sheetViews>
  <sheetFormatPr defaultRowHeight="12.75"/>
  <cols>
    <col min="1" max="1" width="58.42578125" style="2" bestFit="1" customWidth="1"/>
    <col min="2" max="2" width="2.140625" style="2" bestFit="1" customWidth="1"/>
    <col min="3" max="15" width="14.28515625" style="2" customWidth="1"/>
    <col min="16" max="16" width="11.5703125" style="1" bestFit="1" customWidth="1"/>
    <col min="17" max="19" width="9.42578125" style="1" bestFit="1" customWidth="1"/>
    <col min="20" max="20" width="9.140625" style="1"/>
    <col min="21" max="256" width="9.140625" style="2"/>
    <col min="257" max="257" width="33.5703125" style="2" customWidth="1"/>
    <col min="258" max="258" width="2.85546875" style="2" customWidth="1"/>
    <col min="259" max="259" width="11" style="2" customWidth="1"/>
    <col min="260" max="261" width="12.140625" style="2" customWidth="1"/>
    <col min="262" max="262" width="11.85546875" style="2" customWidth="1"/>
    <col min="263" max="263" width="12.140625" style="2" customWidth="1"/>
    <col min="264" max="264" width="12.28515625" style="2" customWidth="1"/>
    <col min="265" max="265" width="13.7109375" style="2" customWidth="1"/>
    <col min="266" max="267" width="12.28515625" style="2" customWidth="1"/>
    <col min="268" max="268" width="12.7109375" style="2" customWidth="1"/>
    <col min="269" max="269" width="13.7109375" style="2" customWidth="1"/>
    <col min="270" max="270" width="13.5703125" style="2" customWidth="1"/>
    <col min="271" max="512" width="9.140625" style="2"/>
    <col min="513" max="513" width="33.5703125" style="2" customWidth="1"/>
    <col min="514" max="514" width="2.85546875" style="2" customWidth="1"/>
    <col min="515" max="515" width="11" style="2" customWidth="1"/>
    <col min="516" max="517" width="12.140625" style="2" customWidth="1"/>
    <col min="518" max="518" width="11.85546875" style="2" customWidth="1"/>
    <col min="519" max="519" width="12.140625" style="2" customWidth="1"/>
    <col min="520" max="520" width="12.28515625" style="2" customWidth="1"/>
    <col min="521" max="521" width="13.7109375" style="2" customWidth="1"/>
    <col min="522" max="523" width="12.28515625" style="2" customWidth="1"/>
    <col min="524" max="524" width="12.7109375" style="2" customWidth="1"/>
    <col min="525" max="525" width="13.7109375" style="2" customWidth="1"/>
    <col min="526" max="526" width="13.5703125" style="2" customWidth="1"/>
    <col min="527" max="768" width="9.140625" style="2"/>
    <col min="769" max="769" width="33.5703125" style="2" customWidth="1"/>
    <col min="770" max="770" width="2.85546875" style="2" customWidth="1"/>
    <col min="771" max="771" width="11" style="2" customWidth="1"/>
    <col min="772" max="773" width="12.140625" style="2" customWidth="1"/>
    <col min="774" max="774" width="11.85546875" style="2" customWidth="1"/>
    <col min="775" max="775" width="12.140625" style="2" customWidth="1"/>
    <col min="776" max="776" width="12.28515625" style="2" customWidth="1"/>
    <col min="777" max="777" width="13.7109375" style="2" customWidth="1"/>
    <col min="778" max="779" width="12.28515625" style="2" customWidth="1"/>
    <col min="780" max="780" width="12.7109375" style="2" customWidth="1"/>
    <col min="781" max="781" width="13.7109375" style="2" customWidth="1"/>
    <col min="782" max="782" width="13.5703125" style="2" customWidth="1"/>
    <col min="783" max="1024" width="9.140625" style="2"/>
    <col min="1025" max="1025" width="33.5703125" style="2" customWidth="1"/>
    <col min="1026" max="1026" width="2.85546875" style="2" customWidth="1"/>
    <col min="1027" max="1027" width="11" style="2" customWidth="1"/>
    <col min="1028" max="1029" width="12.140625" style="2" customWidth="1"/>
    <col min="1030" max="1030" width="11.85546875" style="2" customWidth="1"/>
    <col min="1031" max="1031" width="12.140625" style="2" customWidth="1"/>
    <col min="1032" max="1032" width="12.28515625" style="2" customWidth="1"/>
    <col min="1033" max="1033" width="13.7109375" style="2" customWidth="1"/>
    <col min="1034" max="1035" width="12.28515625" style="2" customWidth="1"/>
    <col min="1036" max="1036" width="12.7109375" style="2" customWidth="1"/>
    <col min="1037" max="1037" width="13.7109375" style="2" customWidth="1"/>
    <col min="1038" max="1038" width="13.5703125" style="2" customWidth="1"/>
    <col min="1039" max="1280" width="9.140625" style="2"/>
    <col min="1281" max="1281" width="33.5703125" style="2" customWidth="1"/>
    <col min="1282" max="1282" width="2.85546875" style="2" customWidth="1"/>
    <col min="1283" max="1283" width="11" style="2" customWidth="1"/>
    <col min="1284" max="1285" width="12.140625" style="2" customWidth="1"/>
    <col min="1286" max="1286" width="11.85546875" style="2" customWidth="1"/>
    <col min="1287" max="1287" width="12.140625" style="2" customWidth="1"/>
    <col min="1288" max="1288" width="12.28515625" style="2" customWidth="1"/>
    <col min="1289" max="1289" width="13.7109375" style="2" customWidth="1"/>
    <col min="1290" max="1291" width="12.28515625" style="2" customWidth="1"/>
    <col min="1292" max="1292" width="12.7109375" style="2" customWidth="1"/>
    <col min="1293" max="1293" width="13.7109375" style="2" customWidth="1"/>
    <col min="1294" max="1294" width="13.5703125" style="2" customWidth="1"/>
    <col min="1295" max="1536" width="9.140625" style="2"/>
    <col min="1537" max="1537" width="33.5703125" style="2" customWidth="1"/>
    <col min="1538" max="1538" width="2.85546875" style="2" customWidth="1"/>
    <col min="1539" max="1539" width="11" style="2" customWidth="1"/>
    <col min="1540" max="1541" width="12.140625" style="2" customWidth="1"/>
    <col min="1542" max="1542" width="11.85546875" style="2" customWidth="1"/>
    <col min="1543" max="1543" width="12.140625" style="2" customWidth="1"/>
    <col min="1544" max="1544" width="12.28515625" style="2" customWidth="1"/>
    <col min="1545" max="1545" width="13.7109375" style="2" customWidth="1"/>
    <col min="1546" max="1547" width="12.28515625" style="2" customWidth="1"/>
    <col min="1548" max="1548" width="12.7109375" style="2" customWidth="1"/>
    <col min="1549" max="1549" width="13.7109375" style="2" customWidth="1"/>
    <col min="1550" max="1550" width="13.5703125" style="2" customWidth="1"/>
    <col min="1551" max="1792" width="9.140625" style="2"/>
    <col min="1793" max="1793" width="33.5703125" style="2" customWidth="1"/>
    <col min="1794" max="1794" width="2.85546875" style="2" customWidth="1"/>
    <col min="1795" max="1795" width="11" style="2" customWidth="1"/>
    <col min="1796" max="1797" width="12.140625" style="2" customWidth="1"/>
    <col min="1798" max="1798" width="11.85546875" style="2" customWidth="1"/>
    <col min="1799" max="1799" width="12.140625" style="2" customWidth="1"/>
    <col min="1800" max="1800" width="12.28515625" style="2" customWidth="1"/>
    <col min="1801" max="1801" width="13.7109375" style="2" customWidth="1"/>
    <col min="1802" max="1803" width="12.28515625" style="2" customWidth="1"/>
    <col min="1804" max="1804" width="12.7109375" style="2" customWidth="1"/>
    <col min="1805" max="1805" width="13.7109375" style="2" customWidth="1"/>
    <col min="1806" max="1806" width="13.5703125" style="2" customWidth="1"/>
    <col min="1807" max="2048" width="9.140625" style="2"/>
    <col min="2049" max="2049" width="33.5703125" style="2" customWidth="1"/>
    <col min="2050" max="2050" width="2.85546875" style="2" customWidth="1"/>
    <col min="2051" max="2051" width="11" style="2" customWidth="1"/>
    <col min="2052" max="2053" width="12.140625" style="2" customWidth="1"/>
    <col min="2054" max="2054" width="11.85546875" style="2" customWidth="1"/>
    <col min="2055" max="2055" width="12.140625" style="2" customWidth="1"/>
    <col min="2056" max="2056" width="12.28515625" style="2" customWidth="1"/>
    <col min="2057" max="2057" width="13.7109375" style="2" customWidth="1"/>
    <col min="2058" max="2059" width="12.28515625" style="2" customWidth="1"/>
    <col min="2060" max="2060" width="12.7109375" style="2" customWidth="1"/>
    <col min="2061" max="2061" width="13.7109375" style="2" customWidth="1"/>
    <col min="2062" max="2062" width="13.5703125" style="2" customWidth="1"/>
    <col min="2063" max="2304" width="9.140625" style="2"/>
    <col min="2305" max="2305" width="33.5703125" style="2" customWidth="1"/>
    <col min="2306" max="2306" width="2.85546875" style="2" customWidth="1"/>
    <col min="2307" max="2307" width="11" style="2" customWidth="1"/>
    <col min="2308" max="2309" width="12.140625" style="2" customWidth="1"/>
    <col min="2310" max="2310" width="11.85546875" style="2" customWidth="1"/>
    <col min="2311" max="2311" width="12.140625" style="2" customWidth="1"/>
    <col min="2312" max="2312" width="12.28515625" style="2" customWidth="1"/>
    <col min="2313" max="2313" width="13.7109375" style="2" customWidth="1"/>
    <col min="2314" max="2315" width="12.28515625" style="2" customWidth="1"/>
    <col min="2316" max="2316" width="12.7109375" style="2" customWidth="1"/>
    <col min="2317" max="2317" width="13.7109375" style="2" customWidth="1"/>
    <col min="2318" max="2318" width="13.5703125" style="2" customWidth="1"/>
    <col min="2319" max="2560" width="9.140625" style="2"/>
    <col min="2561" max="2561" width="33.5703125" style="2" customWidth="1"/>
    <col min="2562" max="2562" width="2.85546875" style="2" customWidth="1"/>
    <col min="2563" max="2563" width="11" style="2" customWidth="1"/>
    <col min="2564" max="2565" width="12.140625" style="2" customWidth="1"/>
    <col min="2566" max="2566" width="11.85546875" style="2" customWidth="1"/>
    <col min="2567" max="2567" width="12.140625" style="2" customWidth="1"/>
    <col min="2568" max="2568" width="12.28515625" style="2" customWidth="1"/>
    <col min="2569" max="2569" width="13.7109375" style="2" customWidth="1"/>
    <col min="2570" max="2571" width="12.28515625" style="2" customWidth="1"/>
    <col min="2572" max="2572" width="12.7109375" style="2" customWidth="1"/>
    <col min="2573" max="2573" width="13.7109375" style="2" customWidth="1"/>
    <col min="2574" max="2574" width="13.5703125" style="2" customWidth="1"/>
    <col min="2575" max="2816" width="9.140625" style="2"/>
    <col min="2817" max="2817" width="33.5703125" style="2" customWidth="1"/>
    <col min="2818" max="2818" width="2.85546875" style="2" customWidth="1"/>
    <col min="2819" max="2819" width="11" style="2" customWidth="1"/>
    <col min="2820" max="2821" width="12.140625" style="2" customWidth="1"/>
    <col min="2822" max="2822" width="11.85546875" style="2" customWidth="1"/>
    <col min="2823" max="2823" width="12.140625" style="2" customWidth="1"/>
    <col min="2824" max="2824" width="12.28515625" style="2" customWidth="1"/>
    <col min="2825" max="2825" width="13.7109375" style="2" customWidth="1"/>
    <col min="2826" max="2827" width="12.28515625" style="2" customWidth="1"/>
    <col min="2828" max="2828" width="12.7109375" style="2" customWidth="1"/>
    <col min="2829" max="2829" width="13.7109375" style="2" customWidth="1"/>
    <col min="2830" max="2830" width="13.5703125" style="2" customWidth="1"/>
    <col min="2831" max="3072" width="9.140625" style="2"/>
    <col min="3073" max="3073" width="33.5703125" style="2" customWidth="1"/>
    <col min="3074" max="3074" width="2.85546875" style="2" customWidth="1"/>
    <col min="3075" max="3075" width="11" style="2" customWidth="1"/>
    <col min="3076" max="3077" width="12.140625" style="2" customWidth="1"/>
    <col min="3078" max="3078" width="11.85546875" style="2" customWidth="1"/>
    <col min="3079" max="3079" width="12.140625" style="2" customWidth="1"/>
    <col min="3080" max="3080" width="12.28515625" style="2" customWidth="1"/>
    <col min="3081" max="3081" width="13.7109375" style="2" customWidth="1"/>
    <col min="3082" max="3083" width="12.28515625" style="2" customWidth="1"/>
    <col min="3084" max="3084" width="12.7109375" style="2" customWidth="1"/>
    <col min="3085" max="3085" width="13.7109375" style="2" customWidth="1"/>
    <col min="3086" max="3086" width="13.5703125" style="2" customWidth="1"/>
    <col min="3087" max="3328" width="9.140625" style="2"/>
    <col min="3329" max="3329" width="33.5703125" style="2" customWidth="1"/>
    <col min="3330" max="3330" width="2.85546875" style="2" customWidth="1"/>
    <col min="3331" max="3331" width="11" style="2" customWidth="1"/>
    <col min="3332" max="3333" width="12.140625" style="2" customWidth="1"/>
    <col min="3334" max="3334" width="11.85546875" style="2" customWidth="1"/>
    <col min="3335" max="3335" width="12.140625" style="2" customWidth="1"/>
    <col min="3336" max="3336" width="12.28515625" style="2" customWidth="1"/>
    <col min="3337" max="3337" width="13.7109375" style="2" customWidth="1"/>
    <col min="3338" max="3339" width="12.28515625" style="2" customWidth="1"/>
    <col min="3340" max="3340" width="12.7109375" style="2" customWidth="1"/>
    <col min="3341" max="3341" width="13.7109375" style="2" customWidth="1"/>
    <col min="3342" max="3342" width="13.5703125" style="2" customWidth="1"/>
    <col min="3343" max="3584" width="9.140625" style="2"/>
    <col min="3585" max="3585" width="33.5703125" style="2" customWidth="1"/>
    <col min="3586" max="3586" width="2.85546875" style="2" customWidth="1"/>
    <col min="3587" max="3587" width="11" style="2" customWidth="1"/>
    <col min="3588" max="3589" width="12.140625" style="2" customWidth="1"/>
    <col min="3590" max="3590" width="11.85546875" style="2" customWidth="1"/>
    <col min="3591" max="3591" width="12.140625" style="2" customWidth="1"/>
    <col min="3592" max="3592" width="12.28515625" style="2" customWidth="1"/>
    <col min="3593" max="3593" width="13.7109375" style="2" customWidth="1"/>
    <col min="3594" max="3595" width="12.28515625" style="2" customWidth="1"/>
    <col min="3596" max="3596" width="12.7109375" style="2" customWidth="1"/>
    <col min="3597" max="3597" width="13.7109375" style="2" customWidth="1"/>
    <col min="3598" max="3598" width="13.5703125" style="2" customWidth="1"/>
    <col min="3599" max="3840" width="9.140625" style="2"/>
    <col min="3841" max="3841" width="33.5703125" style="2" customWidth="1"/>
    <col min="3842" max="3842" width="2.85546875" style="2" customWidth="1"/>
    <col min="3843" max="3843" width="11" style="2" customWidth="1"/>
    <col min="3844" max="3845" width="12.140625" style="2" customWidth="1"/>
    <col min="3846" max="3846" width="11.85546875" style="2" customWidth="1"/>
    <col min="3847" max="3847" width="12.140625" style="2" customWidth="1"/>
    <col min="3848" max="3848" width="12.28515625" style="2" customWidth="1"/>
    <col min="3849" max="3849" width="13.7109375" style="2" customWidth="1"/>
    <col min="3850" max="3851" width="12.28515625" style="2" customWidth="1"/>
    <col min="3852" max="3852" width="12.7109375" style="2" customWidth="1"/>
    <col min="3853" max="3853" width="13.7109375" style="2" customWidth="1"/>
    <col min="3854" max="3854" width="13.5703125" style="2" customWidth="1"/>
    <col min="3855" max="4096" width="9.140625" style="2"/>
    <col min="4097" max="4097" width="33.5703125" style="2" customWidth="1"/>
    <col min="4098" max="4098" width="2.85546875" style="2" customWidth="1"/>
    <col min="4099" max="4099" width="11" style="2" customWidth="1"/>
    <col min="4100" max="4101" width="12.140625" style="2" customWidth="1"/>
    <col min="4102" max="4102" width="11.85546875" style="2" customWidth="1"/>
    <col min="4103" max="4103" width="12.140625" style="2" customWidth="1"/>
    <col min="4104" max="4104" width="12.28515625" style="2" customWidth="1"/>
    <col min="4105" max="4105" width="13.7109375" style="2" customWidth="1"/>
    <col min="4106" max="4107" width="12.28515625" style="2" customWidth="1"/>
    <col min="4108" max="4108" width="12.7109375" style="2" customWidth="1"/>
    <col min="4109" max="4109" width="13.7109375" style="2" customWidth="1"/>
    <col min="4110" max="4110" width="13.5703125" style="2" customWidth="1"/>
    <col min="4111" max="4352" width="9.140625" style="2"/>
    <col min="4353" max="4353" width="33.5703125" style="2" customWidth="1"/>
    <col min="4354" max="4354" width="2.85546875" style="2" customWidth="1"/>
    <col min="4355" max="4355" width="11" style="2" customWidth="1"/>
    <col min="4356" max="4357" width="12.140625" style="2" customWidth="1"/>
    <col min="4358" max="4358" width="11.85546875" style="2" customWidth="1"/>
    <col min="4359" max="4359" width="12.140625" style="2" customWidth="1"/>
    <col min="4360" max="4360" width="12.28515625" style="2" customWidth="1"/>
    <col min="4361" max="4361" width="13.7109375" style="2" customWidth="1"/>
    <col min="4362" max="4363" width="12.28515625" style="2" customWidth="1"/>
    <col min="4364" max="4364" width="12.7109375" style="2" customWidth="1"/>
    <col min="4365" max="4365" width="13.7109375" style="2" customWidth="1"/>
    <col min="4366" max="4366" width="13.5703125" style="2" customWidth="1"/>
    <col min="4367" max="4608" width="9.140625" style="2"/>
    <col min="4609" max="4609" width="33.5703125" style="2" customWidth="1"/>
    <col min="4610" max="4610" width="2.85546875" style="2" customWidth="1"/>
    <col min="4611" max="4611" width="11" style="2" customWidth="1"/>
    <col min="4612" max="4613" width="12.140625" style="2" customWidth="1"/>
    <col min="4614" max="4614" width="11.85546875" style="2" customWidth="1"/>
    <col min="4615" max="4615" width="12.140625" style="2" customWidth="1"/>
    <col min="4616" max="4616" width="12.28515625" style="2" customWidth="1"/>
    <col min="4617" max="4617" width="13.7109375" style="2" customWidth="1"/>
    <col min="4618" max="4619" width="12.28515625" style="2" customWidth="1"/>
    <col min="4620" max="4620" width="12.7109375" style="2" customWidth="1"/>
    <col min="4621" max="4621" width="13.7109375" style="2" customWidth="1"/>
    <col min="4622" max="4622" width="13.5703125" style="2" customWidth="1"/>
    <col min="4623" max="4864" width="9.140625" style="2"/>
    <col min="4865" max="4865" width="33.5703125" style="2" customWidth="1"/>
    <col min="4866" max="4866" width="2.85546875" style="2" customWidth="1"/>
    <col min="4867" max="4867" width="11" style="2" customWidth="1"/>
    <col min="4868" max="4869" width="12.140625" style="2" customWidth="1"/>
    <col min="4870" max="4870" width="11.85546875" style="2" customWidth="1"/>
    <col min="4871" max="4871" width="12.140625" style="2" customWidth="1"/>
    <col min="4872" max="4872" width="12.28515625" style="2" customWidth="1"/>
    <col min="4873" max="4873" width="13.7109375" style="2" customWidth="1"/>
    <col min="4874" max="4875" width="12.28515625" style="2" customWidth="1"/>
    <col min="4876" max="4876" width="12.7109375" style="2" customWidth="1"/>
    <col min="4877" max="4877" width="13.7109375" style="2" customWidth="1"/>
    <col min="4878" max="4878" width="13.5703125" style="2" customWidth="1"/>
    <col min="4879" max="5120" width="9.140625" style="2"/>
    <col min="5121" max="5121" width="33.5703125" style="2" customWidth="1"/>
    <col min="5122" max="5122" width="2.85546875" style="2" customWidth="1"/>
    <col min="5123" max="5123" width="11" style="2" customWidth="1"/>
    <col min="5124" max="5125" width="12.140625" style="2" customWidth="1"/>
    <col min="5126" max="5126" width="11.85546875" style="2" customWidth="1"/>
    <col min="5127" max="5127" width="12.140625" style="2" customWidth="1"/>
    <col min="5128" max="5128" width="12.28515625" style="2" customWidth="1"/>
    <col min="5129" max="5129" width="13.7109375" style="2" customWidth="1"/>
    <col min="5130" max="5131" width="12.28515625" style="2" customWidth="1"/>
    <col min="5132" max="5132" width="12.7109375" style="2" customWidth="1"/>
    <col min="5133" max="5133" width="13.7109375" style="2" customWidth="1"/>
    <col min="5134" max="5134" width="13.5703125" style="2" customWidth="1"/>
    <col min="5135" max="5376" width="9.140625" style="2"/>
    <col min="5377" max="5377" width="33.5703125" style="2" customWidth="1"/>
    <col min="5378" max="5378" width="2.85546875" style="2" customWidth="1"/>
    <col min="5379" max="5379" width="11" style="2" customWidth="1"/>
    <col min="5380" max="5381" width="12.140625" style="2" customWidth="1"/>
    <col min="5382" max="5382" width="11.85546875" style="2" customWidth="1"/>
    <col min="5383" max="5383" width="12.140625" style="2" customWidth="1"/>
    <col min="5384" max="5384" width="12.28515625" style="2" customWidth="1"/>
    <col min="5385" max="5385" width="13.7109375" style="2" customWidth="1"/>
    <col min="5386" max="5387" width="12.28515625" style="2" customWidth="1"/>
    <col min="5388" max="5388" width="12.7109375" style="2" customWidth="1"/>
    <col min="5389" max="5389" width="13.7109375" style="2" customWidth="1"/>
    <col min="5390" max="5390" width="13.5703125" style="2" customWidth="1"/>
    <col min="5391" max="5632" width="9.140625" style="2"/>
    <col min="5633" max="5633" width="33.5703125" style="2" customWidth="1"/>
    <col min="5634" max="5634" width="2.85546875" style="2" customWidth="1"/>
    <col min="5635" max="5635" width="11" style="2" customWidth="1"/>
    <col min="5636" max="5637" width="12.140625" style="2" customWidth="1"/>
    <col min="5638" max="5638" width="11.85546875" style="2" customWidth="1"/>
    <col min="5639" max="5639" width="12.140625" style="2" customWidth="1"/>
    <col min="5640" max="5640" width="12.28515625" style="2" customWidth="1"/>
    <col min="5641" max="5641" width="13.7109375" style="2" customWidth="1"/>
    <col min="5642" max="5643" width="12.28515625" style="2" customWidth="1"/>
    <col min="5644" max="5644" width="12.7109375" style="2" customWidth="1"/>
    <col min="5645" max="5645" width="13.7109375" style="2" customWidth="1"/>
    <col min="5646" max="5646" width="13.5703125" style="2" customWidth="1"/>
    <col min="5647" max="5888" width="9.140625" style="2"/>
    <col min="5889" max="5889" width="33.5703125" style="2" customWidth="1"/>
    <col min="5890" max="5890" width="2.85546875" style="2" customWidth="1"/>
    <col min="5891" max="5891" width="11" style="2" customWidth="1"/>
    <col min="5892" max="5893" width="12.140625" style="2" customWidth="1"/>
    <col min="5894" max="5894" width="11.85546875" style="2" customWidth="1"/>
    <col min="5895" max="5895" width="12.140625" style="2" customWidth="1"/>
    <col min="5896" max="5896" width="12.28515625" style="2" customWidth="1"/>
    <col min="5897" max="5897" width="13.7109375" style="2" customWidth="1"/>
    <col min="5898" max="5899" width="12.28515625" style="2" customWidth="1"/>
    <col min="5900" max="5900" width="12.7109375" style="2" customWidth="1"/>
    <col min="5901" max="5901" width="13.7109375" style="2" customWidth="1"/>
    <col min="5902" max="5902" width="13.5703125" style="2" customWidth="1"/>
    <col min="5903" max="6144" width="9.140625" style="2"/>
    <col min="6145" max="6145" width="33.5703125" style="2" customWidth="1"/>
    <col min="6146" max="6146" width="2.85546875" style="2" customWidth="1"/>
    <col min="6147" max="6147" width="11" style="2" customWidth="1"/>
    <col min="6148" max="6149" width="12.140625" style="2" customWidth="1"/>
    <col min="6150" max="6150" width="11.85546875" style="2" customWidth="1"/>
    <col min="6151" max="6151" width="12.140625" style="2" customWidth="1"/>
    <col min="6152" max="6152" width="12.28515625" style="2" customWidth="1"/>
    <col min="6153" max="6153" width="13.7109375" style="2" customWidth="1"/>
    <col min="6154" max="6155" width="12.28515625" style="2" customWidth="1"/>
    <col min="6156" max="6156" width="12.7109375" style="2" customWidth="1"/>
    <col min="6157" max="6157" width="13.7109375" style="2" customWidth="1"/>
    <col min="6158" max="6158" width="13.5703125" style="2" customWidth="1"/>
    <col min="6159" max="6400" width="9.140625" style="2"/>
    <col min="6401" max="6401" width="33.5703125" style="2" customWidth="1"/>
    <col min="6402" max="6402" width="2.85546875" style="2" customWidth="1"/>
    <col min="6403" max="6403" width="11" style="2" customWidth="1"/>
    <col min="6404" max="6405" width="12.140625" style="2" customWidth="1"/>
    <col min="6406" max="6406" width="11.85546875" style="2" customWidth="1"/>
    <col min="6407" max="6407" width="12.140625" style="2" customWidth="1"/>
    <col min="6408" max="6408" width="12.28515625" style="2" customWidth="1"/>
    <col min="6409" max="6409" width="13.7109375" style="2" customWidth="1"/>
    <col min="6410" max="6411" width="12.28515625" style="2" customWidth="1"/>
    <col min="6412" max="6412" width="12.7109375" style="2" customWidth="1"/>
    <col min="6413" max="6413" width="13.7109375" style="2" customWidth="1"/>
    <col min="6414" max="6414" width="13.5703125" style="2" customWidth="1"/>
    <col min="6415" max="6656" width="9.140625" style="2"/>
    <col min="6657" max="6657" width="33.5703125" style="2" customWidth="1"/>
    <col min="6658" max="6658" width="2.85546875" style="2" customWidth="1"/>
    <col min="6659" max="6659" width="11" style="2" customWidth="1"/>
    <col min="6660" max="6661" width="12.140625" style="2" customWidth="1"/>
    <col min="6662" max="6662" width="11.85546875" style="2" customWidth="1"/>
    <col min="6663" max="6663" width="12.140625" style="2" customWidth="1"/>
    <col min="6664" max="6664" width="12.28515625" style="2" customWidth="1"/>
    <col min="6665" max="6665" width="13.7109375" style="2" customWidth="1"/>
    <col min="6666" max="6667" width="12.28515625" style="2" customWidth="1"/>
    <col min="6668" max="6668" width="12.7109375" style="2" customWidth="1"/>
    <col min="6669" max="6669" width="13.7109375" style="2" customWidth="1"/>
    <col min="6670" max="6670" width="13.5703125" style="2" customWidth="1"/>
    <col min="6671" max="6912" width="9.140625" style="2"/>
    <col min="6913" max="6913" width="33.5703125" style="2" customWidth="1"/>
    <col min="6914" max="6914" width="2.85546875" style="2" customWidth="1"/>
    <col min="6915" max="6915" width="11" style="2" customWidth="1"/>
    <col min="6916" max="6917" width="12.140625" style="2" customWidth="1"/>
    <col min="6918" max="6918" width="11.85546875" style="2" customWidth="1"/>
    <col min="6919" max="6919" width="12.140625" style="2" customWidth="1"/>
    <col min="6920" max="6920" width="12.28515625" style="2" customWidth="1"/>
    <col min="6921" max="6921" width="13.7109375" style="2" customWidth="1"/>
    <col min="6922" max="6923" width="12.28515625" style="2" customWidth="1"/>
    <col min="6924" max="6924" width="12.7109375" style="2" customWidth="1"/>
    <col min="6925" max="6925" width="13.7109375" style="2" customWidth="1"/>
    <col min="6926" max="6926" width="13.5703125" style="2" customWidth="1"/>
    <col min="6927" max="7168" width="9.140625" style="2"/>
    <col min="7169" max="7169" width="33.5703125" style="2" customWidth="1"/>
    <col min="7170" max="7170" width="2.85546875" style="2" customWidth="1"/>
    <col min="7171" max="7171" width="11" style="2" customWidth="1"/>
    <col min="7172" max="7173" width="12.140625" style="2" customWidth="1"/>
    <col min="7174" max="7174" width="11.85546875" style="2" customWidth="1"/>
    <col min="7175" max="7175" width="12.140625" style="2" customWidth="1"/>
    <col min="7176" max="7176" width="12.28515625" style="2" customWidth="1"/>
    <col min="7177" max="7177" width="13.7109375" style="2" customWidth="1"/>
    <col min="7178" max="7179" width="12.28515625" style="2" customWidth="1"/>
    <col min="7180" max="7180" width="12.7109375" style="2" customWidth="1"/>
    <col min="7181" max="7181" width="13.7109375" style="2" customWidth="1"/>
    <col min="7182" max="7182" width="13.5703125" style="2" customWidth="1"/>
    <col min="7183" max="7424" width="9.140625" style="2"/>
    <col min="7425" max="7425" width="33.5703125" style="2" customWidth="1"/>
    <col min="7426" max="7426" width="2.85546875" style="2" customWidth="1"/>
    <col min="7427" max="7427" width="11" style="2" customWidth="1"/>
    <col min="7428" max="7429" width="12.140625" style="2" customWidth="1"/>
    <col min="7430" max="7430" width="11.85546875" style="2" customWidth="1"/>
    <col min="7431" max="7431" width="12.140625" style="2" customWidth="1"/>
    <col min="7432" max="7432" width="12.28515625" style="2" customWidth="1"/>
    <col min="7433" max="7433" width="13.7109375" style="2" customWidth="1"/>
    <col min="7434" max="7435" width="12.28515625" style="2" customWidth="1"/>
    <col min="7436" max="7436" width="12.7109375" style="2" customWidth="1"/>
    <col min="7437" max="7437" width="13.7109375" style="2" customWidth="1"/>
    <col min="7438" max="7438" width="13.5703125" style="2" customWidth="1"/>
    <col min="7439" max="7680" width="9.140625" style="2"/>
    <col min="7681" max="7681" width="33.5703125" style="2" customWidth="1"/>
    <col min="7682" max="7682" width="2.85546875" style="2" customWidth="1"/>
    <col min="7683" max="7683" width="11" style="2" customWidth="1"/>
    <col min="7684" max="7685" width="12.140625" style="2" customWidth="1"/>
    <col min="7686" max="7686" width="11.85546875" style="2" customWidth="1"/>
    <col min="7687" max="7687" width="12.140625" style="2" customWidth="1"/>
    <col min="7688" max="7688" width="12.28515625" style="2" customWidth="1"/>
    <col min="7689" max="7689" width="13.7109375" style="2" customWidth="1"/>
    <col min="7690" max="7691" width="12.28515625" style="2" customWidth="1"/>
    <col min="7692" max="7692" width="12.7109375" style="2" customWidth="1"/>
    <col min="7693" max="7693" width="13.7109375" style="2" customWidth="1"/>
    <col min="7694" max="7694" width="13.5703125" style="2" customWidth="1"/>
    <col min="7695" max="7936" width="9.140625" style="2"/>
    <col min="7937" max="7937" width="33.5703125" style="2" customWidth="1"/>
    <col min="7938" max="7938" width="2.85546875" style="2" customWidth="1"/>
    <col min="7939" max="7939" width="11" style="2" customWidth="1"/>
    <col min="7940" max="7941" width="12.140625" style="2" customWidth="1"/>
    <col min="7942" max="7942" width="11.85546875" style="2" customWidth="1"/>
    <col min="7943" max="7943" width="12.140625" style="2" customWidth="1"/>
    <col min="7944" max="7944" width="12.28515625" style="2" customWidth="1"/>
    <col min="7945" max="7945" width="13.7109375" style="2" customWidth="1"/>
    <col min="7946" max="7947" width="12.28515625" style="2" customWidth="1"/>
    <col min="7948" max="7948" width="12.7109375" style="2" customWidth="1"/>
    <col min="7949" max="7949" width="13.7109375" style="2" customWidth="1"/>
    <col min="7950" max="7950" width="13.5703125" style="2" customWidth="1"/>
    <col min="7951" max="8192" width="9.140625" style="2"/>
    <col min="8193" max="8193" width="33.5703125" style="2" customWidth="1"/>
    <col min="8194" max="8194" width="2.85546875" style="2" customWidth="1"/>
    <col min="8195" max="8195" width="11" style="2" customWidth="1"/>
    <col min="8196" max="8197" width="12.140625" style="2" customWidth="1"/>
    <col min="8198" max="8198" width="11.85546875" style="2" customWidth="1"/>
    <col min="8199" max="8199" width="12.140625" style="2" customWidth="1"/>
    <col min="8200" max="8200" width="12.28515625" style="2" customWidth="1"/>
    <col min="8201" max="8201" width="13.7109375" style="2" customWidth="1"/>
    <col min="8202" max="8203" width="12.28515625" style="2" customWidth="1"/>
    <col min="8204" max="8204" width="12.7109375" style="2" customWidth="1"/>
    <col min="8205" max="8205" width="13.7109375" style="2" customWidth="1"/>
    <col min="8206" max="8206" width="13.5703125" style="2" customWidth="1"/>
    <col min="8207" max="8448" width="9.140625" style="2"/>
    <col min="8449" max="8449" width="33.5703125" style="2" customWidth="1"/>
    <col min="8450" max="8450" width="2.85546875" style="2" customWidth="1"/>
    <col min="8451" max="8451" width="11" style="2" customWidth="1"/>
    <col min="8452" max="8453" width="12.140625" style="2" customWidth="1"/>
    <col min="8454" max="8454" width="11.85546875" style="2" customWidth="1"/>
    <col min="8455" max="8455" width="12.140625" style="2" customWidth="1"/>
    <col min="8456" max="8456" width="12.28515625" style="2" customWidth="1"/>
    <col min="8457" max="8457" width="13.7109375" style="2" customWidth="1"/>
    <col min="8458" max="8459" width="12.28515625" style="2" customWidth="1"/>
    <col min="8460" max="8460" width="12.7109375" style="2" customWidth="1"/>
    <col min="8461" max="8461" width="13.7109375" style="2" customWidth="1"/>
    <col min="8462" max="8462" width="13.5703125" style="2" customWidth="1"/>
    <col min="8463" max="8704" width="9.140625" style="2"/>
    <col min="8705" max="8705" width="33.5703125" style="2" customWidth="1"/>
    <col min="8706" max="8706" width="2.85546875" style="2" customWidth="1"/>
    <col min="8707" max="8707" width="11" style="2" customWidth="1"/>
    <col min="8708" max="8709" width="12.140625" style="2" customWidth="1"/>
    <col min="8710" max="8710" width="11.85546875" style="2" customWidth="1"/>
    <col min="8711" max="8711" width="12.140625" style="2" customWidth="1"/>
    <col min="8712" max="8712" width="12.28515625" style="2" customWidth="1"/>
    <col min="8713" max="8713" width="13.7109375" style="2" customWidth="1"/>
    <col min="8714" max="8715" width="12.28515625" style="2" customWidth="1"/>
    <col min="8716" max="8716" width="12.7109375" style="2" customWidth="1"/>
    <col min="8717" max="8717" width="13.7109375" style="2" customWidth="1"/>
    <col min="8718" max="8718" width="13.5703125" style="2" customWidth="1"/>
    <col min="8719" max="8960" width="9.140625" style="2"/>
    <col min="8961" max="8961" width="33.5703125" style="2" customWidth="1"/>
    <col min="8962" max="8962" width="2.85546875" style="2" customWidth="1"/>
    <col min="8963" max="8963" width="11" style="2" customWidth="1"/>
    <col min="8964" max="8965" width="12.140625" style="2" customWidth="1"/>
    <col min="8966" max="8966" width="11.85546875" style="2" customWidth="1"/>
    <col min="8967" max="8967" width="12.140625" style="2" customWidth="1"/>
    <col min="8968" max="8968" width="12.28515625" style="2" customWidth="1"/>
    <col min="8969" max="8969" width="13.7109375" style="2" customWidth="1"/>
    <col min="8970" max="8971" width="12.28515625" style="2" customWidth="1"/>
    <col min="8972" max="8972" width="12.7109375" style="2" customWidth="1"/>
    <col min="8973" max="8973" width="13.7109375" style="2" customWidth="1"/>
    <col min="8974" max="8974" width="13.5703125" style="2" customWidth="1"/>
    <col min="8975" max="9216" width="9.140625" style="2"/>
    <col min="9217" max="9217" width="33.5703125" style="2" customWidth="1"/>
    <col min="9218" max="9218" width="2.85546875" style="2" customWidth="1"/>
    <col min="9219" max="9219" width="11" style="2" customWidth="1"/>
    <col min="9220" max="9221" width="12.140625" style="2" customWidth="1"/>
    <col min="9222" max="9222" width="11.85546875" style="2" customWidth="1"/>
    <col min="9223" max="9223" width="12.140625" style="2" customWidth="1"/>
    <col min="9224" max="9224" width="12.28515625" style="2" customWidth="1"/>
    <col min="9225" max="9225" width="13.7109375" style="2" customWidth="1"/>
    <col min="9226" max="9227" width="12.28515625" style="2" customWidth="1"/>
    <col min="9228" max="9228" width="12.7109375" style="2" customWidth="1"/>
    <col min="9229" max="9229" width="13.7109375" style="2" customWidth="1"/>
    <col min="9230" max="9230" width="13.5703125" style="2" customWidth="1"/>
    <col min="9231" max="9472" width="9.140625" style="2"/>
    <col min="9473" max="9473" width="33.5703125" style="2" customWidth="1"/>
    <col min="9474" max="9474" width="2.85546875" style="2" customWidth="1"/>
    <col min="9475" max="9475" width="11" style="2" customWidth="1"/>
    <col min="9476" max="9477" width="12.140625" style="2" customWidth="1"/>
    <col min="9478" max="9478" width="11.85546875" style="2" customWidth="1"/>
    <col min="9479" max="9479" width="12.140625" style="2" customWidth="1"/>
    <col min="9480" max="9480" width="12.28515625" style="2" customWidth="1"/>
    <col min="9481" max="9481" width="13.7109375" style="2" customWidth="1"/>
    <col min="9482" max="9483" width="12.28515625" style="2" customWidth="1"/>
    <col min="9484" max="9484" width="12.7109375" style="2" customWidth="1"/>
    <col min="9485" max="9485" width="13.7109375" style="2" customWidth="1"/>
    <col min="9486" max="9486" width="13.5703125" style="2" customWidth="1"/>
    <col min="9487" max="9728" width="9.140625" style="2"/>
    <col min="9729" max="9729" width="33.5703125" style="2" customWidth="1"/>
    <col min="9730" max="9730" width="2.85546875" style="2" customWidth="1"/>
    <col min="9731" max="9731" width="11" style="2" customWidth="1"/>
    <col min="9732" max="9733" width="12.140625" style="2" customWidth="1"/>
    <col min="9734" max="9734" width="11.85546875" style="2" customWidth="1"/>
    <col min="9735" max="9735" width="12.140625" style="2" customWidth="1"/>
    <col min="9736" max="9736" width="12.28515625" style="2" customWidth="1"/>
    <col min="9737" max="9737" width="13.7109375" style="2" customWidth="1"/>
    <col min="9738" max="9739" width="12.28515625" style="2" customWidth="1"/>
    <col min="9740" max="9740" width="12.7109375" style="2" customWidth="1"/>
    <col min="9741" max="9741" width="13.7109375" style="2" customWidth="1"/>
    <col min="9742" max="9742" width="13.5703125" style="2" customWidth="1"/>
    <col min="9743" max="9984" width="9.140625" style="2"/>
    <col min="9985" max="9985" width="33.5703125" style="2" customWidth="1"/>
    <col min="9986" max="9986" width="2.85546875" style="2" customWidth="1"/>
    <col min="9987" max="9987" width="11" style="2" customWidth="1"/>
    <col min="9988" max="9989" width="12.140625" style="2" customWidth="1"/>
    <col min="9990" max="9990" width="11.85546875" style="2" customWidth="1"/>
    <col min="9991" max="9991" width="12.140625" style="2" customWidth="1"/>
    <col min="9992" max="9992" width="12.28515625" style="2" customWidth="1"/>
    <col min="9993" max="9993" width="13.7109375" style="2" customWidth="1"/>
    <col min="9994" max="9995" width="12.28515625" style="2" customWidth="1"/>
    <col min="9996" max="9996" width="12.7109375" style="2" customWidth="1"/>
    <col min="9997" max="9997" width="13.7109375" style="2" customWidth="1"/>
    <col min="9998" max="9998" width="13.5703125" style="2" customWidth="1"/>
    <col min="9999" max="10240" width="9.140625" style="2"/>
    <col min="10241" max="10241" width="33.5703125" style="2" customWidth="1"/>
    <col min="10242" max="10242" width="2.85546875" style="2" customWidth="1"/>
    <col min="10243" max="10243" width="11" style="2" customWidth="1"/>
    <col min="10244" max="10245" width="12.140625" style="2" customWidth="1"/>
    <col min="10246" max="10246" width="11.85546875" style="2" customWidth="1"/>
    <col min="10247" max="10247" width="12.140625" style="2" customWidth="1"/>
    <col min="10248" max="10248" width="12.28515625" style="2" customWidth="1"/>
    <col min="10249" max="10249" width="13.7109375" style="2" customWidth="1"/>
    <col min="10250" max="10251" width="12.28515625" style="2" customWidth="1"/>
    <col min="10252" max="10252" width="12.7109375" style="2" customWidth="1"/>
    <col min="10253" max="10253" width="13.7109375" style="2" customWidth="1"/>
    <col min="10254" max="10254" width="13.5703125" style="2" customWidth="1"/>
    <col min="10255" max="10496" width="9.140625" style="2"/>
    <col min="10497" max="10497" width="33.5703125" style="2" customWidth="1"/>
    <col min="10498" max="10498" width="2.85546875" style="2" customWidth="1"/>
    <col min="10499" max="10499" width="11" style="2" customWidth="1"/>
    <col min="10500" max="10501" width="12.140625" style="2" customWidth="1"/>
    <col min="10502" max="10502" width="11.85546875" style="2" customWidth="1"/>
    <col min="10503" max="10503" width="12.140625" style="2" customWidth="1"/>
    <col min="10504" max="10504" width="12.28515625" style="2" customWidth="1"/>
    <col min="10505" max="10505" width="13.7109375" style="2" customWidth="1"/>
    <col min="10506" max="10507" width="12.28515625" style="2" customWidth="1"/>
    <col min="10508" max="10508" width="12.7109375" style="2" customWidth="1"/>
    <col min="10509" max="10509" width="13.7109375" style="2" customWidth="1"/>
    <col min="10510" max="10510" width="13.5703125" style="2" customWidth="1"/>
    <col min="10511" max="10752" width="9.140625" style="2"/>
    <col min="10753" max="10753" width="33.5703125" style="2" customWidth="1"/>
    <col min="10754" max="10754" width="2.85546875" style="2" customWidth="1"/>
    <col min="10755" max="10755" width="11" style="2" customWidth="1"/>
    <col min="10756" max="10757" width="12.140625" style="2" customWidth="1"/>
    <col min="10758" max="10758" width="11.85546875" style="2" customWidth="1"/>
    <col min="10759" max="10759" width="12.140625" style="2" customWidth="1"/>
    <col min="10760" max="10760" width="12.28515625" style="2" customWidth="1"/>
    <col min="10761" max="10761" width="13.7109375" style="2" customWidth="1"/>
    <col min="10762" max="10763" width="12.28515625" style="2" customWidth="1"/>
    <col min="10764" max="10764" width="12.7109375" style="2" customWidth="1"/>
    <col min="10765" max="10765" width="13.7109375" style="2" customWidth="1"/>
    <col min="10766" max="10766" width="13.5703125" style="2" customWidth="1"/>
    <col min="10767" max="11008" width="9.140625" style="2"/>
    <col min="11009" max="11009" width="33.5703125" style="2" customWidth="1"/>
    <col min="11010" max="11010" width="2.85546875" style="2" customWidth="1"/>
    <col min="11011" max="11011" width="11" style="2" customWidth="1"/>
    <col min="11012" max="11013" width="12.140625" style="2" customWidth="1"/>
    <col min="11014" max="11014" width="11.85546875" style="2" customWidth="1"/>
    <col min="11015" max="11015" width="12.140625" style="2" customWidth="1"/>
    <col min="11016" max="11016" width="12.28515625" style="2" customWidth="1"/>
    <col min="11017" max="11017" width="13.7109375" style="2" customWidth="1"/>
    <col min="11018" max="11019" width="12.28515625" style="2" customWidth="1"/>
    <col min="11020" max="11020" width="12.7109375" style="2" customWidth="1"/>
    <col min="11021" max="11021" width="13.7109375" style="2" customWidth="1"/>
    <col min="11022" max="11022" width="13.5703125" style="2" customWidth="1"/>
    <col min="11023" max="11264" width="9.140625" style="2"/>
    <col min="11265" max="11265" width="33.5703125" style="2" customWidth="1"/>
    <col min="11266" max="11266" width="2.85546875" style="2" customWidth="1"/>
    <col min="11267" max="11267" width="11" style="2" customWidth="1"/>
    <col min="11268" max="11269" width="12.140625" style="2" customWidth="1"/>
    <col min="11270" max="11270" width="11.85546875" style="2" customWidth="1"/>
    <col min="11271" max="11271" width="12.140625" style="2" customWidth="1"/>
    <col min="11272" max="11272" width="12.28515625" style="2" customWidth="1"/>
    <col min="11273" max="11273" width="13.7109375" style="2" customWidth="1"/>
    <col min="11274" max="11275" width="12.28515625" style="2" customWidth="1"/>
    <col min="11276" max="11276" width="12.7109375" style="2" customWidth="1"/>
    <col min="11277" max="11277" width="13.7109375" style="2" customWidth="1"/>
    <col min="11278" max="11278" width="13.5703125" style="2" customWidth="1"/>
    <col min="11279" max="11520" width="9.140625" style="2"/>
    <col min="11521" max="11521" width="33.5703125" style="2" customWidth="1"/>
    <col min="11522" max="11522" width="2.85546875" style="2" customWidth="1"/>
    <col min="11523" max="11523" width="11" style="2" customWidth="1"/>
    <col min="11524" max="11525" width="12.140625" style="2" customWidth="1"/>
    <col min="11526" max="11526" width="11.85546875" style="2" customWidth="1"/>
    <col min="11527" max="11527" width="12.140625" style="2" customWidth="1"/>
    <col min="11528" max="11528" width="12.28515625" style="2" customWidth="1"/>
    <col min="11529" max="11529" width="13.7109375" style="2" customWidth="1"/>
    <col min="11530" max="11531" width="12.28515625" style="2" customWidth="1"/>
    <col min="11532" max="11532" width="12.7109375" style="2" customWidth="1"/>
    <col min="11533" max="11533" width="13.7109375" style="2" customWidth="1"/>
    <col min="11534" max="11534" width="13.5703125" style="2" customWidth="1"/>
    <col min="11535" max="11776" width="9.140625" style="2"/>
    <col min="11777" max="11777" width="33.5703125" style="2" customWidth="1"/>
    <col min="11778" max="11778" width="2.85546875" style="2" customWidth="1"/>
    <col min="11779" max="11779" width="11" style="2" customWidth="1"/>
    <col min="11780" max="11781" width="12.140625" style="2" customWidth="1"/>
    <col min="11782" max="11782" width="11.85546875" style="2" customWidth="1"/>
    <col min="11783" max="11783" width="12.140625" style="2" customWidth="1"/>
    <col min="11784" max="11784" width="12.28515625" style="2" customWidth="1"/>
    <col min="11785" max="11785" width="13.7109375" style="2" customWidth="1"/>
    <col min="11786" max="11787" width="12.28515625" style="2" customWidth="1"/>
    <col min="11788" max="11788" width="12.7109375" style="2" customWidth="1"/>
    <col min="11789" max="11789" width="13.7109375" style="2" customWidth="1"/>
    <col min="11790" max="11790" width="13.5703125" style="2" customWidth="1"/>
    <col min="11791" max="12032" width="9.140625" style="2"/>
    <col min="12033" max="12033" width="33.5703125" style="2" customWidth="1"/>
    <col min="12034" max="12034" width="2.85546875" style="2" customWidth="1"/>
    <col min="12035" max="12035" width="11" style="2" customWidth="1"/>
    <col min="12036" max="12037" width="12.140625" style="2" customWidth="1"/>
    <col min="12038" max="12038" width="11.85546875" style="2" customWidth="1"/>
    <col min="12039" max="12039" width="12.140625" style="2" customWidth="1"/>
    <col min="12040" max="12040" width="12.28515625" style="2" customWidth="1"/>
    <col min="12041" max="12041" width="13.7109375" style="2" customWidth="1"/>
    <col min="12042" max="12043" width="12.28515625" style="2" customWidth="1"/>
    <col min="12044" max="12044" width="12.7109375" style="2" customWidth="1"/>
    <col min="12045" max="12045" width="13.7109375" style="2" customWidth="1"/>
    <col min="12046" max="12046" width="13.5703125" style="2" customWidth="1"/>
    <col min="12047" max="12288" width="9.140625" style="2"/>
    <col min="12289" max="12289" width="33.5703125" style="2" customWidth="1"/>
    <col min="12290" max="12290" width="2.85546875" style="2" customWidth="1"/>
    <col min="12291" max="12291" width="11" style="2" customWidth="1"/>
    <col min="12292" max="12293" width="12.140625" style="2" customWidth="1"/>
    <col min="12294" max="12294" width="11.85546875" style="2" customWidth="1"/>
    <col min="12295" max="12295" width="12.140625" style="2" customWidth="1"/>
    <col min="12296" max="12296" width="12.28515625" style="2" customWidth="1"/>
    <col min="12297" max="12297" width="13.7109375" style="2" customWidth="1"/>
    <col min="12298" max="12299" width="12.28515625" style="2" customWidth="1"/>
    <col min="12300" max="12300" width="12.7109375" style="2" customWidth="1"/>
    <col min="12301" max="12301" width="13.7109375" style="2" customWidth="1"/>
    <col min="12302" max="12302" width="13.5703125" style="2" customWidth="1"/>
    <col min="12303" max="12544" width="9.140625" style="2"/>
    <col min="12545" max="12545" width="33.5703125" style="2" customWidth="1"/>
    <col min="12546" max="12546" width="2.85546875" style="2" customWidth="1"/>
    <col min="12547" max="12547" width="11" style="2" customWidth="1"/>
    <col min="12548" max="12549" width="12.140625" style="2" customWidth="1"/>
    <col min="12550" max="12550" width="11.85546875" style="2" customWidth="1"/>
    <col min="12551" max="12551" width="12.140625" style="2" customWidth="1"/>
    <col min="12552" max="12552" width="12.28515625" style="2" customWidth="1"/>
    <col min="12553" max="12553" width="13.7109375" style="2" customWidth="1"/>
    <col min="12554" max="12555" width="12.28515625" style="2" customWidth="1"/>
    <col min="12556" max="12556" width="12.7109375" style="2" customWidth="1"/>
    <col min="12557" max="12557" width="13.7109375" style="2" customWidth="1"/>
    <col min="12558" max="12558" width="13.5703125" style="2" customWidth="1"/>
    <col min="12559" max="12800" width="9.140625" style="2"/>
    <col min="12801" max="12801" width="33.5703125" style="2" customWidth="1"/>
    <col min="12802" max="12802" width="2.85546875" style="2" customWidth="1"/>
    <col min="12803" max="12803" width="11" style="2" customWidth="1"/>
    <col min="12804" max="12805" width="12.140625" style="2" customWidth="1"/>
    <col min="12806" max="12806" width="11.85546875" style="2" customWidth="1"/>
    <col min="12807" max="12807" width="12.140625" style="2" customWidth="1"/>
    <col min="12808" max="12808" width="12.28515625" style="2" customWidth="1"/>
    <col min="12809" max="12809" width="13.7109375" style="2" customWidth="1"/>
    <col min="12810" max="12811" width="12.28515625" style="2" customWidth="1"/>
    <col min="12812" max="12812" width="12.7109375" style="2" customWidth="1"/>
    <col min="12813" max="12813" width="13.7109375" style="2" customWidth="1"/>
    <col min="12814" max="12814" width="13.5703125" style="2" customWidth="1"/>
    <col min="12815" max="13056" width="9.140625" style="2"/>
    <col min="13057" max="13057" width="33.5703125" style="2" customWidth="1"/>
    <col min="13058" max="13058" width="2.85546875" style="2" customWidth="1"/>
    <col min="13059" max="13059" width="11" style="2" customWidth="1"/>
    <col min="13060" max="13061" width="12.140625" style="2" customWidth="1"/>
    <col min="13062" max="13062" width="11.85546875" style="2" customWidth="1"/>
    <col min="13063" max="13063" width="12.140625" style="2" customWidth="1"/>
    <col min="13064" max="13064" width="12.28515625" style="2" customWidth="1"/>
    <col min="13065" max="13065" width="13.7109375" style="2" customWidth="1"/>
    <col min="13066" max="13067" width="12.28515625" style="2" customWidth="1"/>
    <col min="13068" max="13068" width="12.7109375" style="2" customWidth="1"/>
    <col min="13069" max="13069" width="13.7109375" style="2" customWidth="1"/>
    <col min="13070" max="13070" width="13.5703125" style="2" customWidth="1"/>
    <col min="13071" max="13312" width="9.140625" style="2"/>
    <col min="13313" max="13313" width="33.5703125" style="2" customWidth="1"/>
    <col min="13314" max="13314" width="2.85546875" style="2" customWidth="1"/>
    <col min="13315" max="13315" width="11" style="2" customWidth="1"/>
    <col min="13316" max="13317" width="12.140625" style="2" customWidth="1"/>
    <col min="13318" max="13318" width="11.85546875" style="2" customWidth="1"/>
    <col min="13319" max="13319" width="12.140625" style="2" customWidth="1"/>
    <col min="13320" max="13320" width="12.28515625" style="2" customWidth="1"/>
    <col min="13321" max="13321" width="13.7109375" style="2" customWidth="1"/>
    <col min="13322" max="13323" width="12.28515625" style="2" customWidth="1"/>
    <col min="13324" max="13324" width="12.7109375" style="2" customWidth="1"/>
    <col min="13325" max="13325" width="13.7109375" style="2" customWidth="1"/>
    <col min="13326" max="13326" width="13.5703125" style="2" customWidth="1"/>
    <col min="13327" max="13568" width="9.140625" style="2"/>
    <col min="13569" max="13569" width="33.5703125" style="2" customWidth="1"/>
    <col min="13570" max="13570" width="2.85546875" style="2" customWidth="1"/>
    <col min="13571" max="13571" width="11" style="2" customWidth="1"/>
    <col min="13572" max="13573" width="12.140625" style="2" customWidth="1"/>
    <col min="13574" max="13574" width="11.85546875" style="2" customWidth="1"/>
    <col min="13575" max="13575" width="12.140625" style="2" customWidth="1"/>
    <col min="13576" max="13576" width="12.28515625" style="2" customWidth="1"/>
    <col min="13577" max="13577" width="13.7109375" style="2" customWidth="1"/>
    <col min="13578" max="13579" width="12.28515625" style="2" customWidth="1"/>
    <col min="13580" max="13580" width="12.7109375" style="2" customWidth="1"/>
    <col min="13581" max="13581" width="13.7109375" style="2" customWidth="1"/>
    <col min="13582" max="13582" width="13.5703125" style="2" customWidth="1"/>
    <col min="13583" max="13824" width="9.140625" style="2"/>
    <col min="13825" max="13825" width="33.5703125" style="2" customWidth="1"/>
    <col min="13826" max="13826" width="2.85546875" style="2" customWidth="1"/>
    <col min="13827" max="13827" width="11" style="2" customWidth="1"/>
    <col min="13828" max="13829" width="12.140625" style="2" customWidth="1"/>
    <col min="13830" max="13830" width="11.85546875" style="2" customWidth="1"/>
    <col min="13831" max="13831" width="12.140625" style="2" customWidth="1"/>
    <col min="13832" max="13832" width="12.28515625" style="2" customWidth="1"/>
    <col min="13833" max="13833" width="13.7109375" style="2" customWidth="1"/>
    <col min="13834" max="13835" width="12.28515625" style="2" customWidth="1"/>
    <col min="13836" max="13836" width="12.7109375" style="2" customWidth="1"/>
    <col min="13837" max="13837" width="13.7109375" style="2" customWidth="1"/>
    <col min="13838" max="13838" width="13.5703125" style="2" customWidth="1"/>
    <col min="13839" max="14080" width="9.140625" style="2"/>
    <col min="14081" max="14081" width="33.5703125" style="2" customWidth="1"/>
    <col min="14082" max="14082" width="2.85546875" style="2" customWidth="1"/>
    <col min="14083" max="14083" width="11" style="2" customWidth="1"/>
    <col min="14084" max="14085" width="12.140625" style="2" customWidth="1"/>
    <col min="14086" max="14086" width="11.85546875" style="2" customWidth="1"/>
    <col min="14087" max="14087" width="12.140625" style="2" customWidth="1"/>
    <col min="14088" max="14088" width="12.28515625" style="2" customWidth="1"/>
    <col min="14089" max="14089" width="13.7109375" style="2" customWidth="1"/>
    <col min="14090" max="14091" width="12.28515625" style="2" customWidth="1"/>
    <col min="14092" max="14092" width="12.7109375" style="2" customWidth="1"/>
    <col min="14093" max="14093" width="13.7109375" style="2" customWidth="1"/>
    <col min="14094" max="14094" width="13.5703125" style="2" customWidth="1"/>
    <col min="14095" max="14336" width="9.140625" style="2"/>
    <col min="14337" max="14337" width="33.5703125" style="2" customWidth="1"/>
    <col min="14338" max="14338" width="2.85546875" style="2" customWidth="1"/>
    <col min="14339" max="14339" width="11" style="2" customWidth="1"/>
    <col min="14340" max="14341" width="12.140625" style="2" customWidth="1"/>
    <col min="14342" max="14342" width="11.85546875" style="2" customWidth="1"/>
    <col min="14343" max="14343" width="12.140625" style="2" customWidth="1"/>
    <col min="14344" max="14344" width="12.28515625" style="2" customWidth="1"/>
    <col min="14345" max="14345" width="13.7109375" style="2" customWidth="1"/>
    <col min="14346" max="14347" width="12.28515625" style="2" customWidth="1"/>
    <col min="14348" max="14348" width="12.7109375" style="2" customWidth="1"/>
    <col min="14349" max="14349" width="13.7109375" style="2" customWidth="1"/>
    <col min="14350" max="14350" width="13.5703125" style="2" customWidth="1"/>
    <col min="14351" max="14592" width="9.140625" style="2"/>
    <col min="14593" max="14593" width="33.5703125" style="2" customWidth="1"/>
    <col min="14594" max="14594" width="2.85546875" style="2" customWidth="1"/>
    <col min="14595" max="14595" width="11" style="2" customWidth="1"/>
    <col min="14596" max="14597" width="12.140625" style="2" customWidth="1"/>
    <col min="14598" max="14598" width="11.85546875" style="2" customWidth="1"/>
    <col min="14599" max="14599" width="12.140625" style="2" customWidth="1"/>
    <col min="14600" max="14600" width="12.28515625" style="2" customWidth="1"/>
    <col min="14601" max="14601" width="13.7109375" style="2" customWidth="1"/>
    <col min="14602" max="14603" width="12.28515625" style="2" customWidth="1"/>
    <col min="14604" max="14604" width="12.7109375" style="2" customWidth="1"/>
    <col min="14605" max="14605" width="13.7109375" style="2" customWidth="1"/>
    <col min="14606" max="14606" width="13.5703125" style="2" customWidth="1"/>
    <col min="14607" max="14848" width="9.140625" style="2"/>
    <col min="14849" max="14849" width="33.5703125" style="2" customWidth="1"/>
    <col min="14850" max="14850" width="2.85546875" style="2" customWidth="1"/>
    <col min="14851" max="14851" width="11" style="2" customWidth="1"/>
    <col min="14852" max="14853" width="12.140625" style="2" customWidth="1"/>
    <col min="14854" max="14854" width="11.85546875" style="2" customWidth="1"/>
    <col min="14855" max="14855" width="12.140625" style="2" customWidth="1"/>
    <col min="14856" max="14856" width="12.28515625" style="2" customWidth="1"/>
    <col min="14857" max="14857" width="13.7109375" style="2" customWidth="1"/>
    <col min="14858" max="14859" width="12.28515625" style="2" customWidth="1"/>
    <col min="14860" max="14860" width="12.7109375" style="2" customWidth="1"/>
    <col min="14861" max="14861" width="13.7109375" style="2" customWidth="1"/>
    <col min="14862" max="14862" width="13.5703125" style="2" customWidth="1"/>
    <col min="14863" max="15104" width="9.140625" style="2"/>
    <col min="15105" max="15105" width="33.5703125" style="2" customWidth="1"/>
    <col min="15106" max="15106" width="2.85546875" style="2" customWidth="1"/>
    <col min="15107" max="15107" width="11" style="2" customWidth="1"/>
    <col min="15108" max="15109" width="12.140625" style="2" customWidth="1"/>
    <col min="15110" max="15110" width="11.85546875" style="2" customWidth="1"/>
    <col min="15111" max="15111" width="12.140625" style="2" customWidth="1"/>
    <col min="15112" max="15112" width="12.28515625" style="2" customWidth="1"/>
    <col min="15113" max="15113" width="13.7109375" style="2" customWidth="1"/>
    <col min="15114" max="15115" width="12.28515625" style="2" customWidth="1"/>
    <col min="15116" max="15116" width="12.7109375" style="2" customWidth="1"/>
    <col min="15117" max="15117" width="13.7109375" style="2" customWidth="1"/>
    <col min="15118" max="15118" width="13.5703125" style="2" customWidth="1"/>
    <col min="15119" max="15360" width="9.140625" style="2"/>
    <col min="15361" max="15361" width="33.5703125" style="2" customWidth="1"/>
    <col min="15362" max="15362" width="2.85546875" style="2" customWidth="1"/>
    <col min="15363" max="15363" width="11" style="2" customWidth="1"/>
    <col min="15364" max="15365" width="12.140625" style="2" customWidth="1"/>
    <col min="15366" max="15366" width="11.85546875" style="2" customWidth="1"/>
    <col min="15367" max="15367" width="12.140625" style="2" customWidth="1"/>
    <col min="15368" max="15368" width="12.28515625" style="2" customWidth="1"/>
    <col min="15369" max="15369" width="13.7109375" style="2" customWidth="1"/>
    <col min="15370" max="15371" width="12.28515625" style="2" customWidth="1"/>
    <col min="15372" max="15372" width="12.7109375" style="2" customWidth="1"/>
    <col min="15373" max="15373" width="13.7109375" style="2" customWidth="1"/>
    <col min="15374" max="15374" width="13.5703125" style="2" customWidth="1"/>
    <col min="15375" max="15616" width="9.140625" style="2"/>
    <col min="15617" max="15617" width="33.5703125" style="2" customWidth="1"/>
    <col min="15618" max="15618" width="2.85546875" style="2" customWidth="1"/>
    <col min="15619" max="15619" width="11" style="2" customWidth="1"/>
    <col min="15620" max="15621" width="12.140625" style="2" customWidth="1"/>
    <col min="15622" max="15622" width="11.85546875" style="2" customWidth="1"/>
    <col min="15623" max="15623" width="12.140625" style="2" customWidth="1"/>
    <col min="15624" max="15624" width="12.28515625" style="2" customWidth="1"/>
    <col min="15625" max="15625" width="13.7109375" style="2" customWidth="1"/>
    <col min="15626" max="15627" width="12.28515625" style="2" customWidth="1"/>
    <col min="15628" max="15628" width="12.7109375" style="2" customWidth="1"/>
    <col min="15629" max="15629" width="13.7109375" style="2" customWidth="1"/>
    <col min="15630" max="15630" width="13.5703125" style="2" customWidth="1"/>
    <col min="15631" max="15872" width="9.140625" style="2"/>
    <col min="15873" max="15873" width="33.5703125" style="2" customWidth="1"/>
    <col min="15874" max="15874" width="2.85546875" style="2" customWidth="1"/>
    <col min="15875" max="15875" width="11" style="2" customWidth="1"/>
    <col min="15876" max="15877" width="12.140625" style="2" customWidth="1"/>
    <col min="15878" max="15878" width="11.85546875" style="2" customWidth="1"/>
    <col min="15879" max="15879" width="12.140625" style="2" customWidth="1"/>
    <col min="15880" max="15880" width="12.28515625" style="2" customWidth="1"/>
    <col min="15881" max="15881" width="13.7109375" style="2" customWidth="1"/>
    <col min="15882" max="15883" width="12.28515625" style="2" customWidth="1"/>
    <col min="15884" max="15884" width="12.7109375" style="2" customWidth="1"/>
    <col min="15885" max="15885" width="13.7109375" style="2" customWidth="1"/>
    <col min="15886" max="15886" width="13.5703125" style="2" customWidth="1"/>
    <col min="15887" max="16128" width="9.140625" style="2"/>
    <col min="16129" max="16129" width="33.5703125" style="2" customWidth="1"/>
    <col min="16130" max="16130" width="2.85546875" style="2" customWidth="1"/>
    <col min="16131" max="16131" width="11" style="2" customWidth="1"/>
    <col min="16132" max="16133" width="12.140625" style="2" customWidth="1"/>
    <col min="16134" max="16134" width="11.85546875" style="2" customWidth="1"/>
    <col min="16135" max="16135" width="12.140625" style="2" customWidth="1"/>
    <col min="16136" max="16136" width="12.28515625" style="2" customWidth="1"/>
    <col min="16137" max="16137" width="13.7109375" style="2" customWidth="1"/>
    <col min="16138" max="16139" width="12.28515625" style="2" customWidth="1"/>
    <col min="16140" max="16140" width="12.7109375" style="2" customWidth="1"/>
    <col min="16141" max="16141" width="13.7109375" style="2" customWidth="1"/>
    <col min="16142" max="16142" width="13.5703125" style="2" customWidth="1"/>
    <col min="16143" max="16384" width="9.140625" style="2"/>
  </cols>
  <sheetData>
    <row r="2" spans="1:20" s="50" customFormat="1" ht="15" customHeight="1">
      <c r="A2" s="391" t="s">
        <v>325</v>
      </c>
      <c r="B2" s="392"/>
      <c r="C2" s="392"/>
      <c r="D2" s="392"/>
      <c r="E2" s="392"/>
      <c r="F2" s="392"/>
      <c r="G2" s="392"/>
      <c r="H2" s="392"/>
      <c r="I2" s="392"/>
      <c r="J2" s="392"/>
      <c r="K2" s="392"/>
      <c r="L2" s="392"/>
      <c r="M2" s="392"/>
      <c r="N2" s="392"/>
      <c r="O2" s="392"/>
      <c r="P2" s="364"/>
      <c r="Q2" s="364"/>
      <c r="R2" s="364"/>
      <c r="S2" s="364"/>
      <c r="T2" s="364"/>
    </row>
    <row r="3" spans="1:20" s="371" customFormat="1" ht="14.25">
      <c r="A3" s="395" t="s">
        <v>261</v>
      </c>
      <c r="B3" s="395"/>
      <c r="C3" s="395"/>
      <c r="D3" s="395"/>
      <c r="E3" s="395"/>
      <c r="F3" s="395"/>
      <c r="G3" s="395"/>
      <c r="H3" s="395"/>
      <c r="I3" s="395"/>
      <c r="J3" s="395"/>
      <c r="K3" s="396"/>
      <c r="L3" s="396"/>
      <c r="M3" s="396"/>
      <c r="N3" s="396"/>
      <c r="O3" s="396"/>
      <c r="P3" s="370"/>
      <c r="Q3" s="370"/>
      <c r="R3" s="370"/>
      <c r="S3" s="370"/>
      <c r="T3" s="370"/>
    </row>
    <row r="4" spans="1:20" ht="24.75" customHeight="1">
      <c r="A4" s="393" t="s">
        <v>272</v>
      </c>
      <c r="B4" s="394"/>
      <c r="C4" s="385">
        <v>2005</v>
      </c>
      <c r="D4" s="401">
        <v>2006</v>
      </c>
      <c r="E4" s="385">
        <v>2007</v>
      </c>
      <c r="F4" s="385">
        <v>2008</v>
      </c>
      <c r="G4" s="385">
        <v>2009</v>
      </c>
      <c r="H4" s="385">
        <v>2010</v>
      </c>
      <c r="I4" s="385">
        <v>2011</v>
      </c>
      <c r="J4" s="388">
        <v>2012</v>
      </c>
      <c r="K4" s="385">
        <v>2013</v>
      </c>
      <c r="L4" s="385">
        <v>2014</v>
      </c>
      <c r="M4" s="388">
        <v>2015</v>
      </c>
      <c r="N4" s="388">
        <v>2016</v>
      </c>
      <c r="O4" s="385">
        <v>2017</v>
      </c>
    </row>
    <row r="5" spans="1:20" ht="34.9" customHeight="1">
      <c r="A5" s="397" t="s">
        <v>298</v>
      </c>
      <c r="B5" s="398"/>
      <c r="C5" s="386"/>
      <c r="D5" s="402"/>
      <c r="E5" s="386"/>
      <c r="F5" s="386"/>
      <c r="G5" s="386"/>
      <c r="H5" s="386"/>
      <c r="I5" s="386"/>
      <c r="J5" s="389"/>
      <c r="K5" s="386"/>
      <c r="L5" s="386"/>
      <c r="M5" s="389"/>
      <c r="N5" s="389"/>
      <c r="O5" s="386"/>
    </row>
    <row r="6" spans="1:20" ht="30.6" customHeight="1" thickBot="1">
      <c r="A6" s="399" t="s">
        <v>273</v>
      </c>
      <c r="B6" s="400"/>
      <c r="C6" s="387"/>
      <c r="D6" s="403"/>
      <c r="E6" s="387"/>
      <c r="F6" s="387"/>
      <c r="G6" s="387"/>
      <c r="H6" s="387"/>
      <c r="I6" s="387"/>
      <c r="J6" s="390"/>
      <c r="K6" s="387"/>
      <c r="L6" s="387"/>
      <c r="M6" s="390"/>
      <c r="N6" s="390"/>
      <c r="O6" s="387"/>
    </row>
    <row r="7" spans="1:20" s="12" customFormat="1" ht="21.75" customHeight="1">
      <c r="A7" s="3" t="s">
        <v>47</v>
      </c>
      <c r="B7" s="4" t="s">
        <v>1</v>
      </c>
      <c r="C7" s="5">
        <v>91250483.900000006</v>
      </c>
      <c r="D7" s="6">
        <v>107268536</v>
      </c>
      <c r="E7" s="7">
        <v>135714307.90000001</v>
      </c>
      <c r="F7" s="8">
        <v>154630532.90000001</v>
      </c>
      <c r="G7" s="8">
        <v>163576573.5</v>
      </c>
      <c r="H7" s="8">
        <v>170211984</v>
      </c>
      <c r="I7" s="8">
        <v>191280757.69999999</v>
      </c>
      <c r="J7" s="8">
        <v>177376400.40000001</v>
      </c>
      <c r="K7" s="8">
        <v>167006689.69999999</v>
      </c>
      <c r="L7" s="8">
        <v>175420477.40000001</v>
      </c>
      <c r="M7" s="8">
        <v>181772010</v>
      </c>
      <c r="N7" s="9">
        <v>177436303.30000001</v>
      </c>
      <c r="O7" s="374">
        <v>197421977.79999998</v>
      </c>
      <c r="P7" s="10"/>
      <c r="Q7" s="11"/>
      <c r="R7" s="11"/>
      <c r="S7" s="11"/>
      <c r="T7" s="11"/>
    </row>
    <row r="8" spans="1:20" s="12" customFormat="1">
      <c r="A8" s="13" t="s">
        <v>24</v>
      </c>
      <c r="B8" s="14" t="s">
        <v>2</v>
      </c>
      <c r="C8" s="15" t="s">
        <v>3</v>
      </c>
      <c r="D8" s="5">
        <v>113</v>
      </c>
      <c r="E8" s="358">
        <v>117</v>
      </c>
      <c r="F8" s="5">
        <v>109.9</v>
      </c>
      <c r="G8" s="5">
        <v>105.9</v>
      </c>
      <c r="H8" s="358">
        <v>104.4</v>
      </c>
      <c r="I8" s="358">
        <v>111</v>
      </c>
      <c r="J8" s="358">
        <v>92.7</v>
      </c>
      <c r="K8" s="5">
        <v>94.4</v>
      </c>
      <c r="L8" s="5">
        <v>106.1</v>
      </c>
      <c r="M8" s="358">
        <v>103.9</v>
      </c>
      <c r="N8" s="9">
        <v>97.8</v>
      </c>
      <c r="O8" s="375">
        <v>110.2</v>
      </c>
      <c r="P8" s="11"/>
      <c r="Q8" s="11"/>
      <c r="R8" s="11"/>
      <c r="S8" s="11"/>
      <c r="T8" s="11"/>
    </row>
    <row r="9" spans="1:20" s="12" customFormat="1">
      <c r="A9" s="19" t="s">
        <v>4</v>
      </c>
      <c r="B9" s="14"/>
      <c r="C9" s="15"/>
      <c r="D9" s="16"/>
      <c r="E9" s="17"/>
      <c r="F9" s="15"/>
      <c r="G9" s="18"/>
      <c r="H9" s="15"/>
      <c r="I9" s="15"/>
      <c r="J9" s="15"/>
      <c r="K9" s="15"/>
      <c r="L9" s="15"/>
      <c r="M9" s="5"/>
      <c r="N9" s="9"/>
      <c r="O9" s="375"/>
      <c r="P9" s="11"/>
      <c r="Q9" s="11"/>
      <c r="R9" s="11"/>
      <c r="S9" s="11"/>
      <c r="T9" s="11"/>
    </row>
    <row r="10" spans="1:20" s="12" customFormat="1">
      <c r="A10" s="20" t="s">
        <v>5</v>
      </c>
      <c r="B10" s="14"/>
      <c r="C10" s="15"/>
      <c r="D10" s="16"/>
      <c r="E10" s="17"/>
      <c r="F10" s="15"/>
      <c r="G10" s="18"/>
      <c r="H10" s="15"/>
      <c r="I10" s="15"/>
      <c r="J10" s="15"/>
      <c r="K10" s="15"/>
      <c r="L10" s="15"/>
      <c r="M10" s="5"/>
      <c r="N10" s="9"/>
      <c r="O10" s="375"/>
      <c r="P10" s="11"/>
      <c r="Q10" s="11"/>
      <c r="R10" s="11"/>
      <c r="S10" s="11"/>
      <c r="T10" s="11"/>
    </row>
    <row r="11" spans="1:20" s="12" customFormat="1" ht="14.25">
      <c r="A11" s="21" t="s">
        <v>6</v>
      </c>
      <c r="B11" s="14" t="s">
        <v>1</v>
      </c>
      <c r="C11" s="5">
        <v>82470040.700000003</v>
      </c>
      <c r="D11" s="6">
        <v>101333211</v>
      </c>
      <c r="E11" s="7">
        <v>125906213</v>
      </c>
      <c r="F11" s="5">
        <v>147350609.5</v>
      </c>
      <c r="G11" s="5">
        <v>154421942.19999999</v>
      </c>
      <c r="H11" s="5">
        <v>160857585.30000001</v>
      </c>
      <c r="I11" s="5">
        <v>182194221.40000001</v>
      </c>
      <c r="J11" s="5">
        <v>170643811.30000001</v>
      </c>
      <c r="K11" s="5">
        <v>158008759.09999999</v>
      </c>
      <c r="L11" s="5">
        <v>165705675.80000001</v>
      </c>
      <c r="M11" s="5">
        <v>171302515.80000001</v>
      </c>
      <c r="N11" s="9">
        <v>166844232.40000001</v>
      </c>
      <c r="O11" s="191">
        <v>186798023.09999999</v>
      </c>
      <c r="P11" s="23"/>
      <c r="Q11" s="11"/>
      <c r="R11" s="11"/>
      <c r="S11" s="11"/>
      <c r="T11" s="11"/>
    </row>
    <row r="12" spans="1:20" s="12" customFormat="1">
      <c r="A12" s="24" t="s">
        <v>125</v>
      </c>
      <c r="B12" s="14" t="s">
        <v>2</v>
      </c>
      <c r="C12" s="15" t="s">
        <v>3</v>
      </c>
      <c r="D12" s="22">
        <v>118.1</v>
      </c>
      <c r="E12" s="22">
        <v>115.5</v>
      </c>
      <c r="F12" s="191">
        <v>112.1</v>
      </c>
      <c r="G12" s="191">
        <v>105.1</v>
      </c>
      <c r="H12" s="22">
        <v>104.6</v>
      </c>
      <c r="I12" s="22">
        <v>111.8</v>
      </c>
      <c r="J12" s="22">
        <v>93.7</v>
      </c>
      <c r="K12" s="191">
        <v>94.1</v>
      </c>
      <c r="L12" s="191">
        <v>105.9</v>
      </c>
      <c r="M12" s="5">
        <v>103.7</v>
      </c>
      <c r="N12" s="9">
        <v>97.6</v>
      </c>
      <c r="O12" s="191">
        <v>110.9</v>
      </c>
      <c r="P12" s="11"/>
      <c r="Q12" s="11"/>
      <c r="R12" s="11"/>
      <c r="S12" s="11"/>
      <c r="T12" s="11"/>
    </row>
    <row r="13" spans="1:20">
      <c r="A13" s="19" t="s">
        <v>174</v>
      </c>
      <c r="B13" s="25" t="s">
        <v>1</v>
      </c>
      <c r="C13" s="26">
        <v>38656778</v>
      </c>
      <c r="D13" s="27">
        <v>46697341.100000001</v>
      </c>
      <c r="E13" s="28">
        <v>58313639.600000001</v>
      </c>
      <c r="F13" s="26">
        <v>72092068.700000003</v>
      </c>
      <c r="G13" s="26">
        <v>67283326.599999994</v>
      </c>
      <c r="H13" s="26">
        <v>71800760.900000006</v>
      </c>
      <c r="I13" s="26">
        <v>64177343.5</v>
      </c>
      <c r="J13" s="26">
        <v>63101920.200000003</v>
      </c>
      <c r="K13" s="26">
        <v>52897977</v>
      </c>
      <c r="L13" s="26">
        <v>55516396.799999997</v>
      </c>
      <c r="M13" s="26">
        <v>56702340.5</v>
      </c>
      <c r="N13" s="29">
        <v>53473451.144859999</v>
      </c>
      <c r="O13" s="201">
        <v>65493185.225769997</v>
      </c>
      <c r="P13" s="31"/>
      <c r="R13" s="32"/>
    </row>
    <row r="14" spans="1:20">
      <c r="A14" s="33" t="s">
        <v>25</v>
      </c>
      <c r="B14" s="25" t="s">
        <v>2</v>
      </c>
      <c r="C14" s="15" t="s">
        <v>3</v>
      </c>
      <c r="D14" s="39">
        <v>116.7</v>
      </c>
      <c r="E14" s="39">
        <v>115</v>
      </c>
      <c r="F14" s="373">
        <v>117.8</v>
      </c>
      <c r="G14" s="373">
        <v>93.7</v>
      </c>
      <c r="H14" s="39">
        <v>107.6</v>
      </c>
      <c r="I14" s="39">
        <v>88.5</v>
      </c>
      <c r="J14" s="39">
        <v>98.7</v>
      </c>
      <c r="K14" s="373">
        <v>86.1</v>
      </c>
      <c r="L14" s="373">
        <v>106.5</v>
      </c>
      <c r="M14" s="39">
        <v>103.1</v>
      </c>
      <c r="N14" s="39">
        <v>95</v>
      </c>
      <c r="O14" s="373">
        <v>120.7</v>
      </c>
      <c r="P14" s="31"/>
      <c r="R14" s="32"/>
    </row>
    <row r="15" spans="1:20">
      <c r="A15" s="19" t="s">
        <v>177</v>
      </c>
      <c r="B15" s="25" t="s">
        <v>1</v>
      </c>
      <c r="C15" s="26">
        <v>15391511.5</v>
      </c>
      <c r="D15" s="27">
        <v>19227203.800000001</v>
      </c>
      <c r="E15" s="28">
        <v>22970720</v>
      </c>
      <c r="F15" s="26">
        <v>27747441.800000001</v>
      </c>
      <c r="G15" s="26">
        <v>35816465.700000003</v>
      </c>
      <c r="H15" s="26">
        <v>37689546.899999999</v>
      </c>
      <c r="I15" s="26">
        <v>48915832.5</v>
      </c>
      <c r="J15" s="26">
        <v>46966033</v>
      </c>
      <c r="K15" s="26">
        <v>41019996.700000003</v>
      </c>
      <c r="L15" s="26">
        <v>46950815.5</v>
      </c>
      <c r="M15" s="26">
        <v>44727921.399999999</v>
      </c>
      <c r="N15" s="38">
        <v>37753845.700000003</v>
      </c>
      <c r="O15" s="201">
        <v>45074021.075139999</v>
      </c>
      <c r="R15" s="32"/>
    </row>
    <row r="16" spans="1:20">
      <c r="A16" s="20" t="s">
        <v>26</v>
      </c>
      <c r="B16" s="25" t="s">
        <v>2</v>
      </c>
      <c r="C16" s="15" t="s">
        <v>3</v>
      </c>
      <c r="D16" s="39">
        <v>120.7</v>
      </c>
      <c r="E16" s="39">
        <v>113.3</v>
      </c>
      <c r="F16" s="373">
        <v>116.5</v>
      </c>
      <c r="G16" s="373">
        <v>128.1</v>
      </c>
      <c r="H16" s="39">
        <v>104.8</v>
      </c>
      <c r="I16" s="39">
        <v>128</v>
      </c>
      <c r="J16" s="39">
        <v>95.9</v>
      </c>
      <c r="K16" s="373">
        <v>88.4</v>
      </c>
      <c r="L16" s="373">
        <v>115.9</v>
      </c>
      <c r="M16" s="39">
        <v>96</v>
      </c>
      <c r="N16" s="39">
        <v>84.9</v>
      </c>
      <c r="O16" s="373">
        <v>118.6</v>
      </c>
      <c r="R16" s="32"/>
    </row>
    <row r="17" spans="1:18">
      <c r="A17" s="19" t="s">
        <v>7</v>
      </c>
      <c r="B17" s="25" t="s">
        <v>1</v>
      </c>
      <c r="C17" s="26">
        <v>28421751.199999999</v>
      </c>
      <c r="D17" s="27">
        <v>35408666.100000001</v>
      </c>
      <c r="E17" s="28">
        <v>44621853.399999999</v>
      </c>
      <c r="F17" s="26">
        <v>47511099</v>
      </c>
      <c r="G17" s="26">
        <v>51322149.899999999</v>
      </c>
      <c r="H17" s="26">
        <v>51367277.5</v>
      </c>
      <c r="I17" s="26">
        <v>69101045.400000006</v>
      </c>
      <c r="J17" s="26">
        <v>60575858.100000001</v>
      </c>
      <c r="K17" s="26">
        <v>64090785.399999999</v>
      </c>
      <c r="L17" s="26">
        <v>63238463.5</v>
      </c>
      <c r="M17" s="26">
        <v>69872253.900000006</v>
      </c>
      <c r="N17" s="38">
        <v>75616935.599999994</v>
      </c>
      <c r="O17" s="201">
        <v>76230816.788849995</v>
      </c>
      <c r="P17" s="31"/>
      <c r="R17" s="32"/>
    </row>
    <row r="18" spans="1:18">
      <c r="A18" s="20" t="s">
        <v>51</v>
      </c>
      <c r="B18" s="25" t="s">
        <v>2</v>
      </c>
      <c r="C18" s="15" t="s">
        <v>3</v>
      </c>
      <c r="D18" s="39">
        <v>118.5</v>
      </c>
      <c r="E18" s="39">
        <v>117.3</v>
      </c>
      <c r="F18" s="373">
        <v>102.5</v>
      </c>
      <c r="G18" s="373">
        <v>108.4</v>
      </c>
      <c r="H18" s="39">
        <v>100.5</v>
      </c>
      <c r="I18" s="39">
        <v>132.6</v>
      </c>
      <c r="J18" s="39">
        <v>87.4</v>
      </c>
      <c r="K18" s="373">
        <v>107</v>
      </c>
      <c r="L18" s="373">
        <v>98.9</v>
      </c>
      <c r="M18" s="39">
        <v>110</v>
      </c>
      <c r="N18" s="39">
        <v>107.8</v>
      </c>
      <c r="O18" s="376">
        <v>100</v>
      </c>
    </row>
    <row r="19" spans="1:18">
      <c r="A19" s="40"/>
      <c r="B19" s="25"/>
      <c r="C19" s="36"/>
      <c r="D19" s="34"/>
      <c r="E19" s="35"/>
      <c r="F19" s="36"/>
      <c r="G19" s="37"/>
      <c r="H19" s="36"/>
      <c r="I19" s="36"/>
      <c r="J19" s="36"/>
      <c r="K19" s="36"/>
      <c r="L19" s="36"/>
      <c r="M19" s="26"/>
      <c r="N19" s="38"/>
      <c r="O19" s="373"/>
    </row>
    <row r="20" spans="1:18">
      <c r="A20" s="41" t="s">
        <v>8</v>
      </c>
      <c r="B20" s="25" t="s">
        <v>1</v>
      </c>
      <c r="C20" s="26">
        <v>1756041.5</v>
      </c>
      <c r="D20" s="27">
        <v>2054025.4</v>
      </c>
      <c r="E20" s="28">
        <v>1967552.1</v>
      </c>
      <c r="F20" s="26">
        <v>2903431.9</v>
      </c>
      <c r="G20" s="26">
        <v>1878052.8</v>
      </c>
      <c r="H20" s="26">
        <v>1508528</v>
      </c>
      <c r="I20" s="26">
        <v>1745481.2</v>
      </c>
      <c r="J20" s="26">
        <v>1864150.6</v>
      </c>
      <c r="K20" s="26">
        <v>1507779.3</v>
      </c>
      <c r="L20" s="26">
        <v>1523805.8</v>
      </c>
      <c r="M20" s="26">
        <v>1527678.1</v>
      </c>
      <c r="N20" s="38">
        <v>1201007.3</v>
      </c>
      <c r="O20" s="201">
        <v>1503823.5</v>
      </c>
    </row>
    <row r="21" spans="1:18">
      <c r="A21" s="20" t="s">
        <v>55</v>
      </c>
      <c r="B21" s="25" t="s">
        <v>2</v>
      </c>
      <c r="C21" s="15" t="s">
        <v>3</v>
      </c>
      <c r="D21" s="39">
        <v>112.7</v>
      </c>
      <c r="E21" s="39">
        <v>89.2</v>
      </c>
      <c r="F21" s="373">
        <v>141.5</v>
      </c>
      <c r="G21" s="373">
        <v>64.8</v>
      </c>
      <c r="H21" s="39">
        <v>80.5</v>
      </c>
      <c r="I21" s="39">
        <v>114.3</v>
      </c>
      <c r="J21" s="39">
        <v>106.8</v>
      </c>
      <c r="K21" s="373">
        <v>82.2</v>
      </c>
      <c r="L21" s="373">
        <v>102.1</v>
      </c>
      <c r="M21" s="39">
        <v>100.7</v>
      </c>
      <c r="N21" s="39">
        <v>78.900000000000006</v>
      </c>
      <c r="O21" s="201">
        <v>124</v>
      </c>
    </row>
    <row r="22" spans="1:18">
      <c r="A22" s="42" t="s">
        <v>9</v>
      </c>
      <c r="B22" s="25" t="s">
        <v>1</v>
      </c>
      <c r="C22" s="26">
        <v>80713999.200000003</v>
      </c>
      <c r="D22" s="27">
        <v>99279185.599999994</v>
      </c>
      <c r="E22" s="28">
        <v>123938660.90000001</v>
      </c>
      <c r="F22" s="26">
        <v>144447177.59999999</v>
      </c>
      <c r="G22" s="26">
        <v>152543889.40000001</v>
      </c>
      <c r="H22" s="26">
        <v>159349057.30000001</v>
      </c>
      <c r="I22" s="26">
        <v>180448740.19999999</v>
      </c>
      <c r="J22" s="26">
        <v>168779660.69999999</v>
      </c>
      <c r="K22" s="26">
        <v>156500979.80000001</v>
      </c>
      <c r="L22" s="26">
        <v>164181870</v>
      </c>
      <c r="M22" s="26">
        <v>169774837.69999999</v>
      </c>
      <c r="N22" s="38">
        <v>165643225.10000002</v>
      </c>
      <c r="O22" s="201">
        <v>185294199.58976001</v>
      </c>
    </row>
    <row r="23" spans="1:18">
      <c r="A23" s="43" t="s">
        <v>56</v>
      </c>
      <c r="B23" s="25" t="s">
        <v>2</v>
      </c>
      <c r="C23" s="15" t="s">
        <v>3</v>
      </c>
      <c r="D23" s="39">
        <v>118.2</v>
      </c>
      <c r="E23" s="39">
        <v>116</v>
      </c>
      <c r="F23" s="373">
        <v>111.7</v>
      </c>
      <c r="G23" s="373">
        <v>105.9</v>
      </c>
      <c r="H23" s="39">
        <v>111.1</v>
      </c>
      <c r="I23" s="39">
        <v>111.8</v>
      </c>
      <c r="J23" s="39">
        <v>93.6</v>
      </c>
      <c r="K23" s="373">
        <v>94.2</v>
      </c>
      <c r="L23" s="373">
        <v>105.9</v>
      </c>
      <c r="M23" s="39">
        <v>103.7</v>
      </c>
      <c r="N23" s="39">
        <v>97.8</v>
      </c>
      <c r="O23" s="373">
        <v>110.8</v>
      </c>
    </row>
    <row r="24" spans="1:18">
      <c r="M24" s="45"/>
      <c r="N24" s="45"/>
      <c r="O24" s="45"/>
    </row>
    <row r="25" spans="1:18">
      <c r="M25" s="45"/>
      <c r="N25" s="45"/>
    </row>
    <row r="26" spans="1:18">
      <c r="M26" s="45"/>
      <c r="N26" s="45"/>
      <c r="O26" s="45"/>
    </row>
    <row r="27" spans="1:18">
      <c r="M27" s="46"/>
    </row>
    <row r="28" spans="1:18">
      <c r="M28" s="45"/>
    </row>
  </sheetData>
  <mergeCells count="18">
    <mergeCell ref="F4:F6"/>
    <mergeCell ref="G4:G6"/>
    <mergeCell ref="H4:H6"/>
    <mergeCell ref="I4:I6"/>
    <mergeCell ref="J4:J6"/>
    <mergeCell ref="A2:O2"/>
    <mergeCell ref="A4:B4"/>
    <mergeCell ref="A3:O3"/>
    <mergeCell ref="N4:N6"/>
    <mergeCell ref="A5:B5"/>
    <mergeCell ref="O4:O6"/>
    <mergeCell ref="K4:K6"/>
    <mergeCell ref="L4:L6"/>
    <mergeCell ref="M4:M6"/>
    <mergeCell ref="A6:B6"/>
    <mergeCell ref="C4:C6"/>
    <mergeCell ref="D4:D6"/>
    <mergeCell ref="E4:E6"/>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9"/>
  <sheetViews>
    <sheetView zoomScaleNormal="100" workbookViewId="0"/>
  </sheetViews>
  <sheetFormatPr defaultRowHeight="12.75"/>
  <cols>
    <col min="1" max="1" width="44.140625" style="70" customWidth="1"/>
    <col min="2" max="2" width="24.7109375" style="95" customWidth="1"/>
    <col min="3" max="3" width="24.7109375" style="70" customWidth="1"/>
    <col min="4" max="4" width="9.140625" style="70"/>
    <col min="5" max="5" width="15.85546875" style="70" customWidth="1"/>
    <col min="6" max="7" width="9.140625" style="70"/>
    <col min="8" max="8" width="12.85546875" style="70" customWidth="1"/>
    <col min="9" max="256" width="9.140625" style="70"/>
    <col min="257" max="257" width="44.140625" style="70" customWidth="1"/>
    <col min="258" max="258" width="35.7109375" style="70" customWidth="1"/>
    <col min="259" max="259" width="8.7109375" style="70" customWidth="1"/>
    <col min="260" max="512" width="9.140625" style="70"/>
    <col min="513" max="513" width="44.140625" style="70" customWidth="1"/>
    <col min="514" max="514" width="35.7109375" style="70" customWidth="1"/>
    <col min="515" max="515" width="8.7109375" style="70" customWidth="1"/>
    <col min="516" max="768" width="9.140625" style="70"/>
    <col min="769" max="769" width="44.140625" style="70" customWidth="1"/>
    <col min="770" max="770" width="35.7109375" style="70" customWidth="1"/>
    <col min="771" max="771" width="8.7109375" style="70" customWidth="1"/>
    <col min="772" max="1024" width="9.140625" style="70"/>
    <col min="1025" max="1025" width="44.140625" style="70" customWidth="1"/>
    <col min="1026" max="1026" width="35.7109375" style="70" customWidth="1"/>
    <col min="1027" max="1027" width="8.7109375" style="70" customWidth="1"/>
    <col min="1028" max="1280" width="9.140625" style="70"/>
    <col min="1281" max="1281" width="44.140625" style="70" customWidth="1"/>
    <col min="1282" max="1282" width="35.7109375" style="70" customWidth="1"/>
    <col min="1283" max="1283" width="8.7109375" style="70" customWidth="1"/>
    <col min="1284" max="1536" width="9.140625" style="70"/>
    <col min="1537" max="1537" width="44.140625" style="70" customWidth="1"/>
    <col min="1538" max="1538" width="35.7109375" style="70" customWidth="1"/>
    <col min="1539" max="1539" width="8.7109375" style="70" customWidth="1"/>
    <col min="1540" max="1792" width="9.140625" style="70"/>
    <col min="1793" max="1793" width="44.140625" style="70" customWidth="1"/>
    <col min="1794" max="1794" width="35.7109375" style="70" customWidth="1"/>
    <col min="1795" max="1795" width="8.7109375" style="70" customWidth="1"/>
    <col min="1796" max="2048" width="9.140625" style="70"/>
    <col min="2049" max="2049" width="44.140625" style="70" customWidth="1"/>
    <col min="2050" max="2050" width="35.7109375" style="70" customWidth="1"/>
    <col min="2051" max="2051" width="8.7109375" style="70" customWidth="1"/>
    <col min="2052" max="2304" width="9.140625" style="70"/>
    <col min="2305" max="2305" width="44.140625" style="70" customWidth="1"/>
    <col min="2306" max="2306" width="35.7109375" style="70" customWidth="1"/>
    <col min="2307" max="2307" width="8.7109375" style="70" customWidth="1"/>
    <col min="2308" max="2560" width="9.140625" style="70"/>
    <col min="2561" max="2561" width="44.140625" style="70" customWidth="1"/>
    <col min="2562" max="2562" width="35.7109375" style="70" customWidth="1"/>
    <col min="2563" max="2563" width="8.7109375" style="70" customWidth="1"/>
    <col min="2564" max="2816" width="9.140625" style="70"/>
    <col min="2817" max="2817" width="44.140625" style="70" customWidth="1"/>
    <col min="2818" max="2818" width="35.7109375" style="70" customWidth="1"/>
    <col min="2819" max="2819" width="8.7109375" style="70" customWidth="1"/>
    <col min="2820" max="3072" width="9.140625" style="70"/>
    <col min="3073" max="3073" width="44.140625" style="70" customWidth="1"/>
    <col min="3074" max="3074" width="35.7109375" style="70" customWidth="1"/>
    <col min="3075" max="3075" width="8.7109375" style="70" customWidth="1"/>
    <col min="3076" max="3328" width="9.140625" style="70"/>
    <col min="3329" max="3329" width="44.140625" style="70" customWidth="1"/>
    <col min="3330" max="3330" width="35.7109375" style="70" customWidth="1"/>
    <col min="3331" max="3331" width="8.7109375" style="70" customWidth="1"/>
    <col min="3332" max="3584" width="9.140625" style="70"/>
    <col min="3585" max="3585" width="44.140625" style="70" customWidth="1"/>
    <col min="3586" max="3586" width="35.7109375" style="70" customWidth="1"/>
    <col min="3587" max="3587" width="8.7109375" style="70" customWidth="1"/>
    <col min="3588" max="3840" width="9.140625" style="70"/>
    <col min="3841" max="3841" width="44.140625" style="70" customWidth="1"/>
    <col min="3842" max="3842" width="35.7109375" style="70" customWidth="1"/>
    <col min="3843" max="3843" width="8.7109375" style="70" customWidth="1"/>
    <col min="3844" max="4096" width="9.140625" style="70"/>
    <col min="4097" max="4097" width="44.140625" style="70" customWidth="1"/>
    <col min="4098" max="4098" width="35.7109375" style="70" customWidth="1"/>
    <col min="4099" max="4099" width="8.7109375" style="70" customWidth="1"/>
    <col min="4100" max="4352" width="9.140625" style="70"/>
    <col min="4353" max="4353" width="44.140625" style="70" customWidth="1"/>
    <col min="4354" max="4354" width="35.7109375" style="70" customWidth="1"/>
    <col min="4355" max="4355" width="8.7109375" style="70" customWidth="1"/>
    <col min="4356" max="4608" width="9.140625" style="70"/>
    <col min="4609" max="4609" width="44.140625" style="70" customWidth="1"/>
    <col min="4610" max="4610" width="35.7109375" style="70" customWidth="1"/>
    <col min="4611" max="4611" width="8.7109375" style="70" customWidth="1"/>
    <col min="4612" max="4864" width="9.140625" style="70"/>
    <col min="4865" max="4865" width="44.140625" style="70" customWidth="1"/>
    <col min="4866" max="4866" width="35.7109375" style="70" customWidth="1"/>
    <col min="4867" max="4867" width="8.7109375" style="70" customWidth="1"/>
    <col min="4868" max="5120" width="9.140625" style="70"/>
    <col min="5121" max="5121" width="44.140625" style="70" customWidth="1"/>
    <col min="5122" max="5122" width="35.7109375" style="70" customWidth="1"/>
    <col min="5123" max="5123" width="8.7109375" style="70" customWidth="1"/>
    <col min="5124" max="5376" width="9.140625" style="70"/>
    <col min="5377" max="5377" width="44.140625" style="70" customWidth="1"/>
    <col min="5378" max="5378" width="35.7109375" style="70" customWidth="1"/>
    <col min="5379" max="5379" width="8.7109375" style="70" customWidth="1"/>
    <col min="5380" max="5632" width="9.140625" style="70"/>
    <col min="5633" max="5633" width="44.140625" style="70" customWidth="1"/>
    <col min="5634" max="5634" width="35.7109375" style="70" customWidth="1"/>
    <col min="5635" max="5635" width="8.7109375" style="70" customWidth="1"/>
    <col min="5636" max="5888" width="9.140625" style="70"/>
    <col min="5889" max="5889" width="44.140625" style="70" customWidth="1"/>
    <col min="5890" max="5890" width="35.7109375" style="70" customWidth="1"/>
    <col min="5891" max="5891" width="8.7109375" style="70" customWidth="1"/>
    <col min="5892" max="6144" width="9.140625" style="70"/>
    <col min="6145" max="6145" width="44.140625" style="70" customWidth="1"/>
    <col min="6146" max="6146" width="35.7109375" style="70" customWidth="1"/>
    <col min="6147" max="6147" width="8.7109375" style="70" customWidth="1"/>
    <col min="6148" max="6400" width="9.140625" style="70"/>
    <col min="6401" max="6401" width="44.140625" style="70" customWidth="1"/>
    <col min="6402" max="6402" width="35.7109375" style="70" customWidth="1"/>
    <col min="6403" max="6403" width="8.7109375" style="70" customWidth="1"/>
    <col min="6404" max="6656" width="9.140625" style="70"/>
    <col min="6657" max="6657" width="44.140625" style="70" customWidth="1"/>
    <col min="6658" max="6658" width="35.7109375" style="70" customWidth="1"/>
    <col min="6659" max="6659" width="8.7109375" style="70" customWidth="1"/>
    <col min="6660" max="6912" width="9.140625" style="70"/>
    <col min="6913" max="6913" width="44.140625" style="70" customWidth="1"/>
    <col min="6914" max="6914" width="35.7109375" style="70" customWidth="1"/>
    <col min="6915" max="6915" width="8.7109375" style="70" customWidth="1"/>
    <col min="6916" max="7168" width="9.140625" style="70"/>
    <col min="7169" max="7169" width="44.140625" style="70" customWidth="1"/>
    <col min="7170" max="7170" width="35.7109375" style="70" customWidth="1"/>
    <col min="7171" max="7171" width="8.7109375" style="70" customWidth="1"/>
    <col min="7172" max="7424" width="9.140625" style="70"/>
    <col min="7425" max="7425" width="44.140625" style="70" customWidth="1"/>
    <col min="7426" max="7426" width="35.7109375" style="70" customWidth="1"/>
    <col min="7427" max="7427" width="8.7109375" style="70" customWidth="1"/>
    <col min="7428" max="7680" width="9.140625" style="70"/>
    <col min="7681" max="7681" width="44.140625" style="70" customWidth="1"/>
    <col min="7682" max="7682" width="35.7109375" style="70" customWidth="1"/>
    <col min="7683" max="7683" width="8.7109375" style="70" customWidth="1"/>
    <col min="7684" max="7936" width="9.140625" style="70"/>
    <col min="7937" max="7937" width="44.140625" style="70" customWidth="1"/>
    <col min="7938" max="7938" width="35.7109375" style="70" customWidth="1"/>
    <col min="7939" max="7939" width="8.7109375" style="70" customWidth="1"/>
    <col min="7940" max="8192" width="9.140625" style="70"/>
    <col min="8193" max="8193" width="44.140625" style="70" customWidth="1"/>
    <col min="8194" max="8194" width="35.7109375" style="70" customWidth="1"/>
    <col min="8195" max="8195" width="8.7109375" style="70" customWidth="1"/>
    <col min="8196" max="8448" width="9.140625" style="70"/>
    <col min="8449" max="8449" width="44.140625" style="70" customWidth="1"/>
    <col min="8450" max="8450" width="35.7109375" style="70" customWidth="1"/>
    <col min="8451" max="8451" width="8.7109375" style="70" customWidth="1"/>
    <col min="8452" max="8704" width="9.140625" style="70"/>
    <col min="8705" max="8705" width="44.140625" style="70" customWidth="1"/>
    <col min="8706" max="8706" width="35.7109375" style="70" customWidth="1"/>
    <col min="8707" max="8707" width="8.7109375" style="70" customWidth="1"/>
    <col min="8708" max="8960" width="9.140625" style="70"/>
    <col min="8961" max="8961" width="44.140625" style="70" customWidth="1"/>
    <col min="8962" max="8962" width="35.7109375" style="70" customWidth="1"/>
    <col min="8963" max="8963" width="8.7109375" style="70" customWidth="1"/>
    <col min="8964" max="9216" width="9.140625" style="70"/>
    <col min="9217" max="9217" width="44.140625" style="70" customWidth="1"/>
    <col min="9218" max="9218" width="35.7109375" style="70" customWidth="1"/>
    <col min="9219" max="9219" width="8.7109375" style="70" customWidth="1"/>
    <col min="9220" max="9472" width="9.140625" style="70"/>
    <col min="9473" max="9473" width="44.140625" style="70" customWidth="1"/>
    <col min="9474" max="9474" width="35.7109375" style="70" customWidth="1"/>
    <col min="9475" max="9475" width="8.7109375" style="70" customWidth="1"/>
    <col min="9476" max="9728" width="9.140625" style="70"/>
    <col min="9729" max="9729" width="44.140625" style="70" customWidth="1"/>
    <col min="9730" max="9730" width="35.7109375" style="70" customWidth="1"/>
    <col min="9731" max="9731" width="8.7109375" style="70" customWidth="1"/>
    <col min="9732" max="9984" width="9.140625" style="70"/>
    <col min="9985" max="9985" width="44.140625" style="70" customWidth="1"/>
    <col min="9986" max="9986" width="35.7109375" style="70" customWidth="1"/>
    <col min="9987" max="9987" width="8.7109375" style="70" customWidth="1"/>
    <col min="9988" max="10240" width="9.140625" style="70"/>
    <col min="10241" max="10241" width="44.140625" style="70" customWidth="1"/>
    <col min="10242" max="10242" width="35.7109375" style="70" customWidth="1"/>
    <col min="10243" max="10243" width="8.7109375" style="70" customWidth="1"/>
    <col min="10244" max="10496" width="9.140625" style="70"/>
    <col min="10497" max="10497" width="44.140625" style="70" customWidth="1"/>
    <col min="10498" max="10498" width="35.7109375" style="70" customWidth="1"/>
    <col min="10499" max="10499" width="8.7109375" style="70" customWidth="1"/>
    <col min="10500" max="10752" width="9.140625" style="70"/>
    <col min="10753" max="10753" width="44.140625" style="70" customWidth="1"/>
    <col min="10754" max="10754" width="35.7109375" style="70" customWidth="1"/>
    <col min="10755" max="10755" width="8.7109375" style="70" customWidth="1"/>
    <col min="10756" max="11008" width="9.140625" style="70"/>
    <col min="11009" max="11009" width="44.140625" style="70" customWidth="1"/>
    <col min="11010" max="11010" width="35.7109375" style="70" customWidth="1"/>
    <col min="11011" max="11011" width="8.7109375" style="70" customWidth="1"/>
    <col min="11012" max="11264" width="9.140625" style="70"/>
    <col min="11265" max="11265" width="44.140625" style="70" customWidth="1"/>
    <col min="11266" max="11266" width="35.7109375" style="70" customWidth="1"/>
    <col min="11267" max="11267" width="8.7109375" style="70" customWidth="1"/>
    <col min="11268" max="11520" width="9.140625" style="70"/>
    <col min="11521" max="11521" width="44.140625" style="70" customWidth="1"/>
    <col min="11522" max="11522" width="35.7109375" style="70" customWidth="1"/>
    <col min="11523" max="11523" width="8.7109375" style="70" customWidth="1"/>
    <col min="11524" max="11776" width="9.140625" style="70"/>
    <col min="11777" max="11777" width="44.140625" style="70" customWidth="1"/>
    <col min="11778" max="11778" width="35.7109375" style="70" customWidth="1"/>
    <col min="11779" max="11779" width="8.7109375" style="70" customWidth="1"/>
    <col min="11780" max="12032" width="9.140625" style="70"/>
    <col min="12033" max="12033" width="44.140625" style="70" customWidth="1"/>
    <col min="12034" max="12034" width="35.7109375" style="70" customWidth="1"/>
    <col min="12035" max="12035" width="8.7109375" style="70" customWidth="1"/>
    <col min="12036" max="12288" width="9.140625" style="70"/>
    <col min="12289" max="12289" width="44.140625" style="70" customWidth="1"/>
    <col min="12290" max="12290" width="35.7109375" style="70" customWidth="1"/>
    <col min="12291" max="12291" width="8.7109375" style="70" customWidth="1"/>
    <col min="12292" max="12544" width="9.140625" style="70"/>
    <col min="12545" max="12545" width="44.140625" style="70" customWidth="1"/>
    <col min="12546" max="12546" width="35.7109375" style="70" customWidth="1"/>
    <col min="12547" max="12547" width="8.7109375" style="70" customWidth="1"/>
    <col min="12548" max="12800" width="9.140625" style="70"/>
    <col min="12801" max="12801" width="44.140625" style="70" customWidth="1"/>
    <col min="12802" max="12802" width="35.7109375" style="70" customWidth="1"/>
    <col min="12803" max="12803" width="8.7109375" style="70" customWidth="1"/>
    <col min="12804" max="13056" width="9.140625" style="70"/>
    <col min="13057" max="13057" width="44.140625" style="70" customWidth="1"/>
    <col min="13058" max="13058" width="35.7109375" style="70" customWidth="1"/>
    <col min="13059" max="13059" width="8.7109375" style="70" customWidth="1"/>
    <col min="13060" max="13312" width="9.140625" style="70"/>
    <col min="13313" max="13313" width="44.140625" style="70" customWidth="1"/>
    <col min="13314" max="13314" width="35.7109375" style="70" customWidth="1"/>
    <col min="13315" max="13315" width="8.7109375" style="70" customWidth="1"/>
    <col min="13316" max="13568" width="9.140625" style="70"/>
    <col min="13569" max="13569" width="44.140625" style="70" customWidth="1"/>
    <col min="13570" max="13570" width="35.7109375" style="70" customWidth="1"/>
    <col min="13571" max="13571" width="8.7109375" style="70" customWidth="1"/>
    <col min="13572" max="13824" width="9.140625" style="70"/>
    <col min="13825" max="13825" width="44.140625" style="70" customWidth="1"/>
    <col min="13826" max="13826" width="35.7109375" style="70" customWidth="1"/>
    <col min="13827" max="13827" width="8.7109375" style="70" customWidth="1"/>
    <col min="13828" max="14080" width="9.140625" style="70"/>
    <col min="14081" max="14081" width="44.140625" style="70" customWidth="1"/>
    <col min="14082" max="14082" width="35.7109375" style="70" customWidth="1"/>
    <col min="14083" max="14083" width="8.7109375" style="70" customWidth="1"/>
    <col min="14084" max="14336" width="9.140625" style="70"/>
    <col min="14337" max="14337" width="44.140625" style="70" customWidth="1"/>
    <col min="14338" max="14338" width="35.7109375" style="70" customWidth="1"/>
    <col min="14339" max="14339" width="8.7109375" style="70" customWidth="1"/>
    <col min="14340" max="14592" width="9.140625" style="70"/>
    <col min="14593" max="14593" width="44.140625" style="70" customWidth="1"/>
    <col min="14594" max="14594" width="35.7109375" style="70" customWidth="1"/>
    <col min="14595" max="14595" width="8.7109375" style="70" customWidth="1"/>
    <col min="14596" max="14848" width="9.140625" style="70"/>
    <col min="14849" max="14849" width="44.140625" style="70" customWidth="1"/>
    <col min="14850" max="14850" width="35.7109375" style="70" customWidth="1"/>
    <col min="14851" max="14851" width="8.7109375" style="70" customWidth="1"/>
    <col min="14852" max="15104" width="9.140625" style="70"/>
    <col min="15105" max="15105" width="44.140625" style="70" customWidth="1"/>
    <col min="15106" max="15106" width="35.7109375" style="70" customWidth="1"/>
    <col min="15107" max="15107" width="8.7109375" style="70" customWidth="1"/>
    <col min="15108" max="15360" width="9.140625" style="70"/>
    <col min="15361" max="15361" width="44.140625" style="70" customWidth="1"/>
    <col min="15362" max="15362" width="35.7109375" style="70" customWidth="1"/>
    <col min="15363" max="15363" width="8.7109375" style="70" customWidth="1"/>
    <col min="15364" max="15616" width="9.140625" style="70"/>
    <col min="15617" max="15617" width="44.140625" style="70" customWidth="1"/>
    <col min="15618" max="15618" width="35.7109375" style="70" customWidth="1"/>
    <col min="15619" max="15619" width="8.7109375" style="70" customWidth="1"/>
    <col min="15620" max="15872" width="9.140625" style="70"/>
    <col min="15873" max="15873" width="44.140625" style="70" customWidth="1"/>
    <col min="15874" max="15874" width="35.7109375" style="70" customWidth="1"/>
    <col min="15875" max="15875" width="8.7109375" style="70" customWidth="1"/>
    <col min="15876" max="16128" width="9.140625" style="70"/>
    <col min="16129" max="16129" width="44.140625" style="70" customWidth="1"/>
    <col min="16130" max="16130" width="35.7109375" style="70" customWidth="1"/>
    <col min="16131" max="16131" width="8.7109375" style="70" customWidth="1"/>
    <col min="16132" max="16384" width="9.140625" style="70"/>
  </cols>
  <sheetData>
    <row r="2" spans="1:10" ht="39" customHeight="1">
      <c r="A2" s="391" t="s">
        <v>324</v>
      </c>
      <c r="B2" s="391"/>
      <c r="C2" s="408"/>
    </row>
    <row r="3" spans="1:10" s="363" customFormat="1" ht="28.5" customHeight="1">
      <c r="A3" s="409" t="s">
        <v>252</v>
      </c>
      <c r="B3" s="409"/>
      <c r="C3" s="408"/>
    </row>
    <row r="4" spans="1:10" ht="47.25" customHeight="1">
      <c r="A4" s="406" t="s">
        <v>274</v>
      </c>
      <c r="B4" s="404" t="s">
        <v>308</v>
      </c>
      <c r="C4" s="405"/>
    </row>
    <row r="5" spans="1:10" ht="24.75" customHeight="1">
      <c r="A5" s="407"/>
      <c r="B5" s="72">
        <v>2016</v>
      </c>
      <c r="C5" s="73">
        <v>2017</v>
      </c>
    </row>
    <row r="6" spans="1:10" ht="21.75" customHeight="1">
      <c r="A6" s="74" t="s">
        <v>10</v>
      </c>
      <c r="B6" s="75">
        <v>166844232.40000001</v>
      </c>
      <c r="C6" s="76">
        <v>186798023.08976001</v>
      </c>
      <c r="D6" s="351"/>
    </row>
    <row r="7" spans="1:10">
      <c r="A7" s="77" t="s">
        <v>11</v>
      </c>
      <c r="B7" s="26"/>
      <c r="C7" s="78"/>
      <c r="D7" s="79"/>
      <c r="E7" s="80"/>
      <c r="F7" s="78"/>
      <c r="G7" s="78"/>
      <c r="H7" s="78"/>
      <c r="I7" s="78"/>
      <c r="J7" s="78"/>
    </row>
    <row r="8" spans="1:10">
      <c r="A8" s="129" t="s">
        <v>32</v>
      </c>
      <c r="B8" s="26">
        <v>13721181.100000001</v>
      </c>
      <c r="C8" s="81">
        <v>16941012.355099998</v>
      </c>
      <c r="D8" s="318"/>
      <c r="E8" s="82"/>
      <c r="F8" s="78"/>
      <c r="G8" s="78"/>
      <c r="H8" s="78"/>
      <c r="I8" s="78"/>
      <c r="J8" s="78"/>
    </row>
    <row r="9" spans="1:10">
      <c r="A9" s="129" t="s">
        <v>27</v>
      </c>
      <c r="B9" s="26">
        <v>6216637.4000000004</v>
      </c>
      <c r="C9" s="81">
        <v>7931623.8272900004</v>
      </c>
      <c r="D9" s="318"/>
      <c r="E9" s="83"/>
      <c r="F9" s="78"/>
      <c r="G9" s="78"/>
      <c r="H9" s="78"/>
      <c r="I9" s="78"/>
      <c r="J9" s="78"/>
    </row>
    <row r="10" spans="1:10">
      <c r="A10" s="129" t="s">
        <v>33</v>
      </c>
      <c r="B10" s="26">
        <v>5807164.5</v>
      </c>
      <c r="C10" s="81">
        <v>6648453.0320300004</v>
      </c>
      <c r="D10" s="318"/>
      <c r="E10" s="84"/>
      <c r="F10" s="78"/>
      <c r="G10" s="78"/>
      <c r="H10" s="78"/>
      <c r="I10" s="78"/>
      <c r="J10" s="78"/>
    </row>
    <row r="11" spans="1:10">
      <c r="A11" s="129" t="s">
        <v>34</v>
      </c>
      <c r="B11" s="26">
        <v>3952352.4</v>
      </c>
      <c r="C11" s="81">
        <v>4058649.4627999999</v>
      </c>
      <c r="D11" s="318"/>
      <c r="E11" s="85"/>
      <c r="F11" s="78"/>
      <c r="G11" s="78"/>
      <c r="H11" s="78"/>
      <c r="I11" s="78"/>
      <c r="J11" s="78"/>
    </row>
    <row r="12" spans="1:10">
      <c r="A12" s="129" t="s">
        <v>35</v>
      </c>
      <c r="B12" s="26">
        <v>7647243.0999999996</v>
      </c>
      <c r="C12" s="81">
        <v>7862200.0594600001</v>
      </c>
      <c r="D12" s="318"/>
      <c r="E12" s="86"/>
      <c r="F12" s="87"/>
      <c r="G12" s="87"/>
      <c r="H12" s="88"/>
      <c r="I12" s="78"/>
      <c r="J12" s="78"/>
    </row>
    <row r="13" spans="1:10">
      <c r="A13" s="129" t="s">
        <v>36</v>
      </c>
      <c r="B13" s="26">
        <v>18862527.600000001</v>
      </c>
      <c r="C13" s="81">
        <v>18768956.315809999</v>
      </c>
      <c r="D13" s="318"/>
      <c r="E13" s="81"/>
      <c r="F13" s="78"/>
      <c r="G13" s="78"/>
      <c r="H13" s="88"/>
      <c r="I13" s="78"/>
      <c r="J13" s="78"/>
    </row>
    <row r="14" spans="1:10">
      <c r="A14" s="129" t="s">
        <v>37</v>
      </c>
      <c r="B14" s="26">
        <v>34561961.600000001</v>
      </c>
      <c r="C14" s="81">
        <v>38580113.087810002</v>
      </c>
      <c r="D14" s="318"/>
      <c r="E14" s="81"/>
      <c r="F14" s="78"/>
      <c r="G14" s="78"/>
      <c r="H14" s="88"/>
      <c r="I14" s="78"/>
      <c r="J14" s="78"/>
    </row>
    <row r="15" spans="1:10">
      <c r="A15" s="129" t="s">
        <v>38</v>
      </c>
      <c r="B15" s="26">
        <v>3940057.8</v>
      </c>
      <c r="C15" s="81">
        <v>3827458.68438</v>
      </c>
      <c r="D15" s="318"/>
      <c r="E15" s="81"/>
      <c r="F15" s="78"/>
      <c r="G15" s="78"/>
      <c r="H15" s="88"/>
      <c r="I15" s="78"/>
      <c r="J15" s="78"/>
    </row>
    <row r="16" spans="1:10">
      <c r="A16" s="129" t="s">
        <v>39</v>
      </c>
      <c r="B16" s="26">
        <v>5701028.3000000007</v>
      </c>
      <c r="C16" s="81">
        <v>7842313.0905499998</v>
      </c>
      <c r="D16" s="318"/>
      <c r="E16" s="81"/>
      <c r="F16" s="78"/>
      <c r="G16" s="78"/>
      <c r="H16" s="88"/>
      <c r="I16" s="78"/>
      <c r="J16" s="78"/>
    </row>
    <row r="17" spans="1:10">
      <c r="A17" s="129" t="s">
        <v>40</v>
      </c>
      <c r="B17" s="26">
        <v>3240292.8</v>
      </c>
      <c r="C17" s="81">
        <v>4915899.4093399998</v>
      </c>
      <c r="D17" s="318"/>
      <c r="E17" s="81"/>
      <c r="F17" s="78"/>
      <c r="G17" s="78"/>
      <c r="H17" s="88"/>
      <c r="I17" s="78"/>
      <c r="J17" s="78"/>
    </row>
    <row r="18" spans="1:10">
      <c r="A18" s="129" t="s">
        <v>41</v>
      </c>
      <c r="B18" s="26">
        <v>11766511.899999999</v>
      </c>
      <c r="C18" s="81">
        <v>14104103.719550001</v>
      </c>
      <c r="D18" s="318"/>
      <c r="E18" s="81"/>
      <c r="F18" s="78"/>
      <c r="G18" s="78"/>
      <c r="H18" s="88"/>
      <c r="I18" s="78"/>
      <c r="J18" s="78"/>
    </row>
    <row r="19" spans="1:10">
      <c r="A19" s="129" t="s">
        <v>42</v>
      </c>
      <c r="B19" s="26">
        <v>18991829.899999999</v>
      </c>
      <c r="C19" s="81">
        <v>18737148.853379998</v>
      </c>
      <c r="D19" s="318"/>
      <c r="E19" s="81"/>
      <c r="F19" s="78"/>
      <c r="G19" s="78"/>
      <c r="H19" s="88"/>
      <c r="I19" s="78"/>
      <c r="J19" s="78"/>
    </row>
    <row r="20" spans="1:10">
      <c r="A20" s="129" t="s">
        <v>43</v>
      </c>
      <c r="B20" s="26">
        <v>3509135.2</v>
      </c>
      <c r="C20" s="81">
        <v>4371317.2435999997</v>
      </c>
      <c r="D20" s="318"/>
      <c r="E20" s="81"/>
      <c r="F20" s="78"/>
      <c r="G20" s="78"/>
      <c r="H20" s="88"/>
      <c r="I20" s="78"/>
      <c r="J20" s="78"/>
    </row>
    <row r="21" spans="1:10">
      <c r="A21" s="129" t="s">
        <v>44</v>
      </c>
      <c r="B21" s="26">
        <v>4730865.4000000004</v>
      </c>
      <c r="C21" s="81">
        <v>4694835.2006299999</v>
      </c>
      <c r="D21" s="318"/>
      <c r="E21" s="81"/>
      <c r="F21" s="78"/>
      <c r="G21" s="78"/>
      <c r="H21" s="88"/>
      <c r="I21" s="78"/>
      <c r="J21" s="78"/>
    </row>
    <row r="22" spans="1:10">
      <c r="A22" s="129" t="s">
        <v>45</v>
      </c>
      <c r="B22" s="26">
        <v>15091479.300000001</v>
      </c>
      <c r="C22" s="81">
        <v>18921615.352219999</v>
      </c>
      <c r="D22" s="318"/>
      <c r="E22" s="81"/>
      <c r="F22" s="78"/>
      <c r="G22" s="78"/>
      <c r="H22" s="88"/>
      <c r="I22" s="78"/>
      <c r="J22" s="78"/>
    </row>
    <row r="23" spans="1:10">
      <c r="A23" s="129" t="s">
        <v>46</v>
      </c>
      <c r="B23" s="26">
        <v>9103964.1000000015</v>
      </c>
      <c r="C23" s="81">
        <v>8592323.3958000001</v>
      </c>
      <c r="D23" s="318"/>
      <c r="E23" s="81"/>
      <c r="F23" s="78"/>
      <c r="G23" s="78"/>
      <c r="H23" s="88"/>
      <c r="I23" s="78"/>
      <c r="J23" s="78"/>
    </row>
    <row r="24" spans="1:10">
      <c r="B24" s="90"/>
      <c r="C24" s="78"/>
      <c r="D24" s="89"/>
      <c r="E24" s="81"/>
      <c r="F24" s="78"/>
      <c r="G24" s="78"/>
      <c r="H24" s="88"/>
      <c r="I24" s="78"/>
      <c r="J24" s="78"/>
    </row>
    <row r="25" spans="1:10">
      <c r="A25" s="91"/>
      <c r="B25" s="92"/>
      <c r="C25" s="78"/>
      <c r="D25" s="89"/>
      <c r="E25" s="81"/>
      <c r="F25" s="78"/>
      <c r="G25" s="78"/>
      <c r="H25" s="88"/>
      <c r="I25" s="78"/>
      <c r="J25" s="78"/>
    </row>
    <row r="26" spans="1:10">
      <c r="A26" s="93"/>
      <c r="B26" s="94"/>
      <c r="C26" s="78"/>
      <c r="D26" s="89"/>
      <c r="E26" s="81"/>
      <c r="F26" s="78"/>
      <c r="G26" s="78"/>
      <c r="H26" s="88"/>
      <c r="I26" s="78"/>
      <c r="J26" s="78"/>
    </row>
    <row r="27" spans="1:10">
      <c r="C27" s="78"/>
      <c r="D27" s="89"/>
      <c r="E27" s="81"/>
      <c r="F27" s="78"/>
      <c r="G27" s="78"/>
      <c r="H27" s="88"/>
      <c r="I27" s="78"/>
      <c r="J27" s="78"/>
    </row>
    <row r="28" spans="1:10">
      <c r="C28" s="78"/>
      <c r="D28" s="89"/>
      <c r="E28" s="81"/>
      <c r="F28" s="78"/>
      <c r="G28" s="78"/>
      <c r="H28" s="88"/>
      <c r="I28" s="78"/>
      <c r="J28" s="78"/>
    </row>
    <row r="29" spans="1:10">
      <c r="D29" s="2"/>
      <c r="E29" s="2"/>
    </row>
  </sheetData>
  <mergeCells count="4">
    <mergeCell ref="B4:C4"/>
    <mergeCell ref="A4:A5"/>
    <mergeCell ref="A2:C2"/>
    <mergeCell ref="A3:C3"/>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7"/>
  <sheetViews>
    <sheetView zoomScaleNormal="100" workbookViewId="0"/>
  </sheetViews>
  <sheetFormatPr defaultColWidth="9.7109375" defaultRowHeight="12.75"/>
  <cols>
    <col min="1" max="1" width="54.5703125" style="70" customWidth="1"/>
    <col min="2" max="11" width="6.7109375" style="70" customWidth="1"/>
    <col min="12" max="13" width="9.7109375" style="70" customWidth="1"/>
    <col min="14" max="257" width="9.7109375" style="70"/>
    <col min="258" max="258" width="25" style="70" customWidth="1"/>
    <col min="259" max="267" width="7.7109375" style="70" customWidth="1"/>
    <col min="268" max="269" width="9.28515625" style="70" customWidth="1"/>
    <col min="270" max="513" width="9.7109375" style="70"/>
    <col min="514" max="514" width="25" style="70" customWidth="1"/>
    <col min="515" max="523" width="7.7109375" style="70" customWidth="1"/>
    <col min="524" max="525" width="9.28515625" style="70" customWidth="1"/>
    <col min="526" max="769" width="9.7109375" style="70"/>
    <col min="770" max="770" width="25" style="70" customWidth="1"/>
    <col min="771" max="779" width="7.7109375" style="70" customWidth="1"/>
    <col min="780" max="781" width="9.28515625" style="70" customWidth="1"/>
    <col min="782" max="1025" width="9.7109375" style="70"/>
    <col min="1026" max="1026" width="25" style="70" customWidth="1"/>
    <col min="1027" max="1035" width="7.7109375" style="70" customWidth="1"/>
    <col min="1036" max="1037" width="9.28515625" style="70" customWidth="1"/>
    <col min="1038" max="1281" width="9.7109375" style="70"/>
    <col min="1282" max="1282" width="25" style="70" customWidth="1"/>
    <col min="1283" max="1291" width="7.7109375" style="70" customWidth="1"/>
    <col min="1292" max="1293" width="9.28515625" style="70" customWidth="1"/>
    <col min="1294" max="1537" width="9.7109375" style="70"/>
    <col min="1538" max="1538" width="25" style="70" customWidth="1"/>
    <col min="1539" max="1547" width="7.7109375" style="70" customWidth="1"/>
    <col min="1548" max="1549" width="9.28515625" style="70" customWidth="1"/>
    <col min="1550" max="1793" width="9.7109375" style="70"/>
    <col min="1794" max="1794" width="25" style="70" customWidth="1"/>
    <col min="1795" max="1803" width="7.7109375" style="70" customWidth="1"/>
    <col min="1804" max="1805" width="9.28515625" style="70" customWidth="1"/>
    <col min="1806" max="2049" width="9.7109375" style="70"/>
    <col min="2050" max="2050" width="25" style="70" customWidth="1"/>
    <col min="2051" max="2059" width="7.7109375" style="70" customWidth="1"/>
    <col min="2060" max="2061" width="9.28515625" style="70" customWidth="1"/>
    <col min="2062" max="2305" width="9.7109375" style="70"/>
    <col min="2306" max="2306" width="25" style="70" customWidth="1"/>
    <col min="2307" max="2315" width="7.7109375" style="70" customWidth="1"/>
    <col min="2316" max="2317" width="9.28515625" style="70" customWidth="1"/>
    <col min="2318" max="2561" width="9.7109375" style="70"/>
    <col min="2562" max="2562" width="25" style="70" customWidth="1"/>
    <col min="2563" max="2571" width="7.7109375" style="70" customWidth="1"/>
    <col min="2572" max="2573" width="9.28515625" style="70" customWidth="1"/>
    <col min="2574" max="2817" width="9.7109375" style="70"/>
    <col min="2818" max="2818" width="25" style="70" customWidth="1"/>
    <col min="2819" max="2827" width="7.7109375" style="70" customWidth="1"/>
    <col min="2828" max="2829" width="9.28515625" style="70" customWidth="1"/>
    <col min="2830" max="3073" width="9.7109375" style="70"/>
    <col min="3074" max="3074" width="25" style="70" customWidth="1"/>
    <col min="3075" max="3083" width="7.7109375" style="70" customWidth="1"/>
    <col min="3084" max="3085" width="9.28515625" style="70" customWidth="1"/>
    <col min="3086" max="3329" width="9.7109375" style="70"/>
    <col min="3330" max="3330" width="25" style="70" customWidth="1"/>
    <col min="3331" max="3339" width="7.7109375" style="70" customWidth="1"/>
    <col min="3340" max="3341" width="9.28515625" style="70" customWidth="1"/>
    <col min="3342" max="3585" width="9.7109375" style="70"/>
    <col min="3586" max="3586" width="25" style="70" customWidth="1"/>
    <col min="3587" max="3595" width="7.7109375" style="70" customWidth="1"/>
    <col min="3596" max="3597" width="9.28515625" style="70" customWidth="1"/>
    <col min="3598" max="3841" width="9.7109375" style="70"/>
    <col min="3842" max="3842" width="25" style="70" customWidth="1"/>
    <col min="3843" max="3851" width="7.7109375" style="70" customWidth="1"/>
    <col min="3852" max="3853" width="9.28515625" style="70" customWidth="1"/>
    <col min="3854" max="4097" width="9.7109375" style="70"/>
    <col min="4098" max="4098" width="25" style="70" customWidth="1"/>
    <col min="4099" max="4107" width="7.7109375" style="70" customWidth="1"/>
    <col min="4108" max="4109" width="9.28515625" style="70" customWidth="1"/>
    <col min="4110" max="4353" width="9.7109375" style="70"/>
    <col min="4354" max="4354" width="25" style="70" customWidth="1"/>
    <col min="4355" max="4363" width="7.7109375" style="70" customWidth="1"/>
    <col min="4364" max="4365" width="9.28515625" style="70" customWidth="1"/>
    <col min="4366" max="4609" width="9.7109375" style="70"/>
    <col min="4610" max="4610" width="25" style="70" customWidth="1"/>
    <col min="4611" max="4619" width="7.7109375" style="70" customWidth="1"/>
    <col min="4620" max="4621" width="9.28515625" style="70" customWidth="1"/>
    <col min="4622" max="4865" width="9.7109375" style="70"/>
    <col min="4866" max="4866" width="25" style="70" customWidth="1"/>
    <col min="4867" max="4875" width="7.7109375" style="70" customWidth="1"/>
    <col min="4876" max="4877" width="9.28515625" style="70" customWidth="1"/>
    <col min="4878" max="5121" width="9.7109375" style="70"/>
    <col min="5122" max="5122" width="25" style="70" customWidth="1"/>
    <col min="5123" max="5131" width="7.7109375" style="70" customWidth="1"/>
    <col min="5132" max="5133" width="9.28515625" style="70" customWidth="1"/>
    <col min="5134" max="5377" width="9.7109375" style="70"/>
    <col min="5378" max="5378" width="25" style="70" customWidth="1"/>
    <col min="5379" max="5387" width="7.7109375" style="70" customWidth="1"/>
    <col min="5388" max="5389" width="9.28515625" style="70" customWidth="1"/>
    <col min="5390" max="5633" width="9.7109375" style="70"/>
    <col min="5634" max="5634" width="25" style="70" customWidth="1"/>
    <col min="5635" max="5643" width="7.7109375" style="70" customWidth="1"/>
    <col min="5644" max="5645" width="9.28515625" style="70" customWidth="1"/>
    <col min="5646" max="5889" width="9.7109375" style="70"/>
    <col min="5890" max="5890" width="25" style="70" customWidth="1"/>
    <col min="5891" max="5899" width="7.7109375" style="70" customWidth="1"/>
    <col min="5900" max="5901" width="9.28515625" style="70" customWidth="1"/>
    <col min="5902" max="6145" width="9.7109375" style="70"/>
    <col min="6146" max="6146" width="25" style="70" customWidth="1"/>
    <col min="6147" max="6155" width="7.7109375" style="70" customWidth="1"/>
    <col min="6156" max="6157" width="9.28515625" style="70" customWidth="1"/>
    <col min="6158" max="6401" width="9.7109375" style="70"/>
    <col min="6402" max="6402" width="25" style="70" customWidth="1"/>
    <col min="6403" max="6411" width="7.7109375" style="70" customWidth="1"/>
    <col min="6412" max="6413" width="9.28515625" style="70" customWidth="1"/>
    <col min="6414" max="6657" width="9.7109375" style="70"/>
    <col min="6658" max="6658" width="25" style="70" customWidth="1"/>
    <col min="6659" max="6667" width="7.7109375" style="70" customWidth="1"/>
    <col min="6668" max="6669" width="9.28515625" style="70" customWidth="1"/>
    <col min="6670" max="6913" width="9.7109375" style="70"/>
    <col min="6914" max="6914" width="25" style="70" customWidth="1"/>
    <col min="6915" max="6923" width="7.7109375" style="70" customWidth="1"/>
    <col min="6924" max="6925" width="9.28515625" style="70" customWidth="1"/>
    <col min="6926" max="7169" width="9.7109375" style="70"/>
    <col min="7170" max="7170" width="25" style="70" customWidth="1"/>
    <col min="7171" max="7179" width="7.7109375" style="70" customWidth="1"/>
    <col min="7180" max="7181" width="9.28515625" style="70" customWidth="1"/>
    <col min="7182" max="7425" width="9.7109375" style="70"/>
    <col min="7426" max="7426" width="25" style="70" customWidth="1"/>
    <col min="7427" max="7435" width="7.7109375" style="70" customWidth="1"/>
    <col min="7436" max="7437" width="9.28515625" style="70" customWidth="1"/>
    <col min="7438" max="7681" width="9.7109375" style="70"/>
    <col min="7682" max="7682" width="25" style="70" customWidth="1"/>
    <col min="7683" max="7691" width="7.7109375" style="70" customWidth="1"/>
    <col min="7692" max="7693" width="9.28515625" style="70" customWidth="1"/>
    <col min="7694" max="7937" width="9.7109375" style="70"/>
    <col min="7938" max="7938" width="25" style="70" customWidth="1"/>
    <col min="7939" max="7947" width="7.7109375" style="70" customWidth="1"/>
    <col min="7948" max="7949" width="9.28515625" style="70" customWidth="1"/>
    <col min="7950" max="8193" width="9.7109375" style="70"/>
    <col min="8194" max="8194" width="25" style="70" customWidth="1"/>
    <col min="8195" max="8203" width="7.7109375" style="70" customWidth="1"/>
    <col min="8204" max="8205" width="9.28515625" style="70" customWidth="1"/>
    <col min="8206" max="8449" width="9.7109375" style="70"/>
    <col min="8450" max="8450" width="25" style="70" customWidth="1"/>
    <col min="8451" max="8459" width="7.7109375" style="70" customWidth="1"/>
    <col min="8460" max="8461" width="9.28515625" style="70" customWidth="1"/>
    <col min="8462" max="8705" width="9.7109375" style="70"/>
    <col min="8706" max="8706" width="25" style="70" customWidth="1"/>
    <col min="8707" max="8715" width="7.7109375" style="70" customWidth="1"/>
    <col min="8716" max="8717" width="9.28515625" style="70" customWidth="1"/>
    <col min="8718" max="8961" width="9.7109375" style="70"/>
    <col min="8962" max="8962" width="25" style="70" customWidth="1"/>
    <col min="8963" max="8971" width="7.7109375" style="70" customWidth="1"/>
    <col min="8972" max="8973" width="9.28515625" style="70" customWidth="1"/>
    <col min="8974" max="9217" width="9.7109375" style="70"/>
    <col min="9218" max="9218" width="25" style="70" customWidth="1"/>
    <col min="9219" max="9227" width="7.7109375" style="70" customWidth="1"/>
    <col min="9228" max="9229" width="9.28515625" style="70" customWidth="1"/>
    <col min="9230" max="9473" width="9.7109375" style="70"/>
    <col min="9474" max="9474" width="25" style="70" customWidth="1"/>
    <col min="9475" max="9483" width="7.7109375" style="70" customWidth="1"/>
    <col min="9484" max="9485" width="9.28515625" style="70" customWidth="1"/>
    <col min="9486" max="9729" width="9.7109375" style="70"/>
    <col min="9730" max="9730" width="25" style="70" customWidth="1"/>
    <col min="9731" max="9739" width="7.7109375" style="70" customWidth="1"/>
    <col min="9740" max="9741" width="9.28515625" style="70" customWidth="1"/>
    <col min="9742" max="9985" width="9.7109375" style="70"/>
    <col min="9986" max="9986" width="25" style="70" customWidth="1"/>
    <col min="9987" max="9995" width="7.7109375" style="70" customWidth="1"/>
    <col min="9996" max="9997" width="9.28515625" style="70" customWidth="1"/>
    <col min="9998" max="10241" width="9.7109375" style="70"/>
    <col min="10242" max="10242" width="25" style="70" customWidth="1"/>
    <col min="10243" max="10251" width="7.7109375" style="70" customWidth="1"/>
    <col min="10252" max="10253" width="9.28515625" style="70" customWidth="1"/>
    <col min="10254" max="10497" width="9.7109375" style="70"/>
    <col min="10498" max="10498" width="25" style="70" customWidth="1"/>
    <col min="10499" max="10507" width="7.7109375" style="70" customWidth="1"/>
    <col min="10508" max="10509" width="9.28515625" style="70" customWidth="1"/>
    <col min="10510" max="10753" width="9.7109375" style="70"/>
    <col min="10754" max="10754" width="25" style="70" customWidth="1"/>
    <col min="10755" max="10763" width="7.7109375" style="70" customWidth="1"/>
    <col min="10764" max="10765" width="9.28515625" style="70" customWidth="1"/>
    <col min="10766" max="11009" width="9.7109375" style="70"/>
    <col min="11010" max="11010" width="25" style="70" customWidth="1"/>
    <col min="11011" max="11019" width="7.7109375" style="70" customWidth="1"/>
    <col min="11020" max="11021" width="9.28515625" style="70" customWidth="1"/>
    <col min="11022" max="11265" width="9.7109375" style="70"/>
    <col min="11266" max="11266" width="25" style="70" customWidth="1"/>
    <col min="11267" max="11275" width="7.7109375" style="70" customWidth="1"/>
    <col min="11276" max="11277" width="9.28515625" style="70" customWidth="1"/>
    <col min="11278" max="11521" width="9.7109375" style="70"/>
    <col min="11522" max="11522" width="25" style="70" customWidth="1"/>
    <col min="11523" max="11531" width="7.7109375" style="70" customWidth="1"/>
    <col min="11532" max="11533" width="9.28515625" style="70" customWidth="1"/>
    <col min="11534" max="11777" width="9.7109375" style="70"/>
    <col min="11778" max="11778" width="25" style="70" customWidth="1"/>
    <col min="11779" max="11787" width="7.7109375" style="70" customWidth="1"/>
    <col min="11788" max="11789" width="9.28515625" style="70" customWidth="1"/>
    <col min="11790" max="12033" width="9.7109375" style="70"/>
    <col min="12034" max="12034" width="25" style="70" customWidth="1"/>
    <col min="12035" max="12043" width="7.7109375" style="70" customWidth="1"/>
    <col min="12044" max="12045" width="9.28515625" style="70" customWidth="1"/>
    <col min="12046" max="12289" width="9.7109375" style="70"/>
    <col min="12290" max="12290" width="25" style="70" customWidth="1"/>
    <col min="12291" max="12299" width="7.7109375" style="70" customWidth="1"/>
    <col min="12300" max="12301" width="9.28515625" style="70" customWidth="1"/>
    <col min="12302" max="12545" width="9.7109375" style="70"/>
    <col min="12546" max="12546" width="25" style="70" customWidth="1"/>
    <col min="12547" max="12555" width="7.7109375" style="70" customWidth="1"/>
    <col min="12556" max="12557" width="9.28515625" style="70" customWidth="1"/>
    <col min="12558" max="12801" width="9.7109375" style="70"/>
    <col min="12802" max="12802" width="25" style="70" customWidth="1"/>
    <col min="12803" max="12811" width="7.7109375" style="70" customWidth="1"/>
    <col min="12812" max="12813" width="9.28515625" style="70" customWidth="1"/>
    <col min="12814" max="13057" width="9.7109375" style="70"/>
    <col min="13058" max="13058" width="25" style="70" customWidth="1"/>
    <col min="13059" max="13067" width="7.7109375" style="70" customWidth="1"/>
    <col min="13068" max="13069" width="9.28515625" style="70" customWidth="1"/>
    <col min="13070" max="13313" width="9.7109375" style="70"/>
    <col min="13314" max="13314" width="25" style="70" customWidth="1"/>
    <col min="13315" max="13323" width="7.7109375" style="70" customWidth="1"/>
    <col min="13324" max="13325" width="9.28515625" style="70" customWidth="1"/>
    <col min="13326" max="13569" width="9.7109375" style="70"/>
    <col min="13570" max="13570" width="25" style="70" customWidth="1"/>
    <col min="13571" max="13579" width="7.7109375" style="70" customWidth="1"/>
    <col min="13580" max="13581" width="9.28515625" style="70" customWidth="1"/>
    <col min="13582" max="13825" width="9.7109375" style="70"/>
    <col min="13826" max="13826" width="25" style="70" customWidth="1"/>
    <col min="13827" max="13835" width="7.7109375" style="70" customWidth="1"/>
    <col min="13836" max="13837" width="9.28515625" style="70" customWidth="1"/>
    <col min="13838" max="14081" width="9.7109375" style="70"/>
    <col min="14082" max="14082" width="25" style="70" customWidth="1"/>
    <col min="14083" max="14091" width="7.7109375" style="70" customWidth="1"/>
    <col min="14092" max="14093" width="9.28515625" style="70" customWidth="1"/>
    <col min="14094" max="14337" width="9.7109375" style="70"/>
    <col min="14338" max="14338" width="25" style="70" customWidth="1"/>
    <col min="14339" max="14347" width="7.7109375" style="70" customWidth="1"/>
    <col min="14348" max="14349" width="9.28515625" style="70" customWidth="1"/>
    <col min="14350" max="14593" width="9.7109375" style="70"/>
    <col min="14594" max="14594" width="25" style="70" customWidth="1"/>
    <col min="14595" max="14603" width="7.7109375" style="70" customWidth="1"/>
    <col min="14604" max="14605" width="9.28515625" style="70" customWidth="1"/>
    <col min="14606" max="14849" width="9.7109375" style="70"/>
    <col min="14850" max="14850" width="25" style="70" customWidth="1"/>
    <col min="14851" max="14859" width="7.7109375" style="70" customWidth="1"/>
    <col min="14860" max="14861" width="9.28515625" style="70" customWidth="1"/>
    <col min="14862" max="15105" width="9.7109375" style="70"/>
    <col min="15106" max="15106" width="25" style="70" customWidth="1"/>
    <col min="15107" max="15115" width="7.7109375" style="70" customWidth="1"/>
    <col min="15116" max="15117" width="9.28515625" style="70" customWidth="1"/>
    <col min="15118" max="15361" width="9.7109375" style="70"/>
    <col min="15362" max="15362" width="25" style="70" customWidth="1"/>
    <col min="15363" max="15371" width="7.7109375" style="70" customWidth="1"/>
    <col min="15372" max="15373" width="9.28515625" style="70" customWidth="1"/>
    <col min="15374" max="15617" width="9.7109375" style="70"/>
    <col min="15618" max="15618" width="25" style="70" customWidth="1"/>
    <col min="15619" max="15627" width="7.7109375" style="70" customWidth="1"/>
    <col min="15628" max="15629" width="9.28515625" style="70" customWidth="1"/>
    <col min="15630" max="15873" width="9.7109375" style="70"/>
    <col min="15874" max="15874" width="25" style="70" customWidth="1"/>
    <col min="15875" max="15883" width="7.7109375" style="70" customWidth="1"/>
    <col min="15884" max="15885" width="9.28515625" style="70" customWidth="1"/>
    <col min="15886" max="16129" width="9.7109375" style="70"/>
    <col min="16130" max="16130" width="25" style="70" customWidth="1"/>
    <col min="16131" max="16139" width="7.7109375" style="70" customWidth="1"/>
    <col min="16140" max="16141" width="9.28515625" style="70" customWidth="1"/>
    <col min="16142" max="16384" width="9.7109375" style="70"/>
  </cols>
  <sheetData>
    <row r="2" spans="1:14" ht="15" customHeight="1">
      <c r="A2" s="413" t="s">
        <v>320</v>
      </c>
      <c r="B2" s="413"/>
      <c r="C2" s="413"/>
      <c r="D2" s="413"/>
      <c r="E2" s="413"/>
      <c r="F2" s="413"/>
      <c r="G2" s="413"/>
      <c r="H2" s="413"/>
      <c r="I2" s="413"/>
      <c r="J2" s="413"/>
      <c r="K2" s="413"/>
      <c r="L2" s="413"/>
    </row>
    <row r="3" spans="1:14" s="360" customFormat="1" ht="14.25">
      <c r="A3" s="366" t="s">
        <v>311</v>
      </c>
      <c r="B3" s="366"/>
      <c r="C3" s="366"/>
      <c r="D3" s="366"/>
      <c r="E3" s="366"/>
      <c r="F3" s="366"/>
      <c r="G3" s="366"/>
      <c r="H3" s="367"/>
      <c r="I3" s="367"/>
      <c r="J3" s="367"/>
      <c r="K3" s="368"/>
      <c r="L3" s="368"/>
      <c r="M3" s="369"/>
    </row>
    <row r="4" spans="1:14" ht="13.5" customHeight="1">
      <c r="A4" s="430" t="s">
        <v>338</v>
      </c>
      <c r="B4" s="96">
        <v>2008</v>
      </c>
      <c r="C4" s="96">
        <v>2009</v>
      </c>
      <c r="D4" s="96">
        <v>2010</v>
      </c>
      <c r="E4" s="96">
        <v>2011</v>
      </c>
      <c r="F4" s="96">
        <v>2012</v>
      </c>
      <c r="G4" s="96">
        <v>2013</v>
      </c>
      <c r="H4" s="97">
        <v>2014</v>
      </c>
      <c r="I4" s="97">
        <v>2015</v>
      </c>
      <c r="J4" s="98">
        <v>2016</v>
      </c>
      <c r="K4" s="426">
        <v>2017</v>
      </c>
      <c r="L4" s="427"/>
      <c r="M4" s="427"/>
      <c r="N4" s="405"/>
    </row>
    <row r="5" spans="1:14" ht="13.5" customHeight="1">
      <c r="A5" s="431"/>
      <c r="B5" s="418" t="s">
        <v>275</v>
      </c>
      <c r="C5" s="419"/>
      <c r="D5" s="419"/>
      <c r="E5" s="419"/>
      <c r="F5" s="419"/>
      <c r="G5" s="419"/>
      <c r="H5" s="419"/>
      <c r="I5" s="419"/>
      <c r="J5" s="420"/>
      <c r="K5" s="421"/>
      <c r="L5" s="414" t="s">
        <v>21</v>
      </c>
      <c r="M5" s="416" t="s">
        <v>22</v>
      </c>
      <c r="N5" s="428" t="s">
        <v>146</v>
      </c>
    </row>
    <row r="6" spans="1:14" ht="13.5" thickBot="1">
      <c r="A6" s="432"/>
      <c r="B6" s="422"/>
      <c r="C6" s="423"/>
      <c r="D6" s="423"/>
      <c r="E6" s="423"/>
      <c r="F6" s="423"/>
      <c r="G6" s="423"/>
      <c r="H6" s="423"/>
      <c r="I6" s="423"/>
      <c r="J6" s="424"/>
      <c r="K6" s="425"/>
      <c r="L6" s="415"/>
      <c r="M6" s="417"/>
      <c r="N6" s="429"/>
    </row>
    <row r="7" spans="1:14" ht="21.75" customHeight="1">
      <c r="A7" s="99" t="s">
        <v>0</v>
      </c>
      <c r="B7" s="100">
        <v>104.8</v>
      </c>
      <c r="C7" s="101">
        <v>100.2</v>
      </c>
      <c r="D7" s="101">
        <v>99.9</v>
      </c>
      <c r="E7" s="102">
        <v>101</v>
      </c>
      <c r="F7" s="102">
        <v>100.2</v>
      </c>
      <c r="G7" s="102">
        <v>98.2</v>
      </c>
      <c r="H7" s="102">
        <v>98.8</v>
      </c>
      <c r="I7" s="102">
        <v>99.5</v>
      </c>
      <c r="J7" s="102">
        <v>99.6</v>
      </c>
      <c r="K7" s="102">
        <v>100.6</v>
      </c>
      <c r="L7" s="102">
        <v>113.7</v>
      </c>
      <c r="M7" s="381">
        <v>97.9</v>
      </c>
      <c r="N7" s="103">
        <v>100.2</v>
      </c>
    </row>
    <row r="8" spans="1:14">
      <c r="A8" s="104" t="s">
        <v>24</v>
      </c>
      <c r="B8" s="101"/>
      <c r="C8" s="101"/>
      <c r="D8" s="101"/>
      <c r="E8" s="105"/>
      <c r="F8" s="105"/>
      <c r="G8" s="105"/>
      <c r="H8" s="105"/>
      <c r="I8" s="106"/>
      <c r="J8" s="105"/>
      <c r="K8" s="105"/>
      <c r="L8" s="105"/>
      <c r="M8" s="382"/>
      <c r="N8" s="107"/>
    </row>
    <row r="9" spans="1:14">
      <c r="A9" s="108" t="s">
        <v>174</v>
      </c>
      <c r="B9" s="109">
        <v>105.5</v>
      </c>
      <c r="C9" s="109">
        <v>99.8</v>
      </c>
      <c r="D9" s="109">
        <v>99.6</v>
      </c>
      <c r="E9" s="110">
        <v>100.9</v>
      </c>
      <c r="F9" s="110">
        <v>99.8</v>
      </c>
      <c r="G9" s="110">
        <v>97.3</v>
      </c>
      <c r="H9" s="110">
        <v>98.4</v>
      </c>
      <c r="I9" s="111">
        <v>99.1</v>
      </c>
      <c r="J9" s="110">
        <v>99.2</v>
      </c>
      <c r="K9" s="110">
        <v>100.7</v>
      </c>
      <c r="L9" s="110">
        <v>112.2</v>
      </c>
      <c r="M9" s="382">
        <v>95.4</v>
      </c>
      <c r="N9" s="112">
        <v>99.9</v>
      </c>
    </row>
    <row r="10" spans="1:14">
      <c r="A10" s="113" t="s">
        <v>25</v>
      </c>
      <c r="B10" s="109"/>
      <c r="C10" s="109"/>
      <c r="D10" s="109"/>
      <c r="E10" s="110"/>
      <c r="F10" s="110"/>
      <c r="G10" s="110"/>
      <c r="H10" s="110"/>
      <c r="I10" s="110"/>
      <c r="J10" s="110"/>
      <c r="K10" s="110"/>
      <c r="L10" s="110"/>
      <c r="M10" s="382"/>
      <c r="N10" s="112"/>
    </row>
    <row r="11" spans="1:14" s="115" customFormat="1">
      <c r="A11" s="108" t="s">
        <v>177</v>
      </c>
      <c r="B11" s="110">
        <v>104</v>
      </c>
      <c r="C11" s="109">
        <v>101.1</v>
      </c>
      <c r="D11" s="109">
        <v>100.5</v>
      </c>
      <c r="E11" s="110">
        <v>101.1</v>
      </c>
      <c r="F11" s="110">
        <v>100.4</v>
      </c>
      <c r="G11" s="114">
        <v>98.7</v>
      </c>
      <c r="H11" s="114">
        <v>98.7</v>
      </c>
      <c r="I11" s="114">
        <v>99.2</v>
      </c>
      <c r="J11" s="114">
        <v>99.4</v>
      </c>
      <c r="K11" s="114">
        <v>100.2</v>
      </c>
      <c r="L11" s="110">
        <v>111.8</v>
      </c>
      <c r="M11" s="382">
        <v>97.7</v>
      </c>
      <c r="N11" s="112">
        <v>99.6</v>
      </c>
    </row>
    <row r="12" spans="1:14">
      <c r="A12" s="116" t="s">
        <v>26</v>
      </c>
      <c r="B12" s="109"/>
      <c r="C12" s="109"/>
      <c r="D12" s="109"/>
      <c r="E12" s="110"/>
      <c r="F12" s="110"/>
      <c r="G12" s="114"/>
      <c r="H12" s="114"/>
      <c r="I12" s="114"/>
      <c r="J12" s="114"/>
      <c r="K12" s="114"/>
      <c r="L12" s="110"/>
      <c r="M12" s="382"/>
      <c r="N12" s="112"/>
    </row>
    <row r="13" spans="1:14">
      <c r="A13" s="117" t="s">
        <v>7</v>
      </c>
      <c r="B13" s="109">
        <v>104.4</v>
      </c>
      <c r="C13" s="109">
        <v>99.8</v>
      </c>
      <c r="D13" s="109">
        <v>99.7</v>
      </c>
      <c r="E13" s="110">
        <v>101.3</v>
      </c>
      <c r="F13" s="110">
        <v>100.5</v>
      </c>
      <c r="G13" s="110">
        <v>98.9</v>
      </c>
      <c r="H13" s="110">
        <v>99.7</v>
      </c>
      <c r="I13" s="110">
        <v>100.5</v>
      </c>
      <c r="J13" s="110">
        <v>100.3</v>
      </c>
      <c r="K13" s="110">
        <v>101.1</v>
      </c>
      <c r="L13" s="110">
        <v>119.4</v>
      </c>
      <c r="M13" s="382">
        <v>102.3</v>
      </c>
      <c r="N13" s="112">
        <v>101.4</v>
      </c>
    </row>
    <row r="14" spans="1:14">
      <c r="A14" s="116" t="s">
        <v>51</v>
      </c>
      <c r="B14" s="109"/>
      <c r="C14" s="109"/>
      <c r="D14" s="109"/>
      <c r="E14" s="110"/>
      <c r="F14" s="110"/>
      <c r="G14" s="110"/>
      <c r="H14" s="110"/>
      <c r="I14" s="110"/>
      <c r="J14" s="110"/>
      <c r="K14" s="110"/>
      <c r="L14" s="110"/>
      <c r="M14" s="382"/>
      <c r="N14" s="107"/>
    </row>
    <row r="15" spans="1:14" s="115" customFormat="1">
      <c r="A15" s="118" t="s">
        <v>189</v>
      </c>
      <c r="B15" s="119"/>
      <c r="C15" s="119"/>
      <c r="D15" s="119"/>
      <c r="E15" s="120"/>
      <c r="F15" s="120"/>
      <c r="G15" s="120"/>
      <c r="H15" s="120"/>
      <c r="I15" s="120"/>
      <c r="J15" s="120"/>
      <c r="K15" s="120"/>
      <c r="L15" s="120"/>
      <c r="M15" s="121"/>
      <c r="N15" s="119"/>
    </row>
    <row r="16" spans="1:14" ht="30" customHeight="1">
      <c r="A16" s="410" t="s">
        <v>276</v>
      </c>
      <c r="B16" s="410"/>
      <c r="C16" s="410"/>
      <c r="D16" s="410"/>
      <c r="E16" s="410"/>
      <c r="F16" s="410"/>
      <c r="G16" s="410"/>
      <c r="H16" s="410"/>
      <c r="I16" s="410"/>
      <c r="J16" s="410"/>
      <c r="K16" s="410"/>
      <c r="L16" s="410"/>
      <c r="M16" s="410"/>
      <c r="N16" s="411"/>
    </row>
    <row r="17" spans="1:14" ht="25.5" customHeight="1">
      <c r="A17" s="412" t="s">
        <v>277</v>
      </c>
      <c r="B17" s="412"/>
      <c r="C17" s="412"/>
      <c r="D17" s="412"/>
      <c r="E17" s="412"/>
      <c r="F17" s="412"/>
      <c r="G17" s="412"/>
      <c r="H17" s="412"/>
      <c r="I17" s="412"/>
      <c r="J17" s="412"/>
      <c r="K17" s="412"/>
      <c r="L17" s="412"/>
      <c r="M17" s="410"/>
      <c r="N17" s="411"/>
    </row>
  </sheetData>
  <mergeCells count="9">
    <mergeCell ref="A16:N16"/>
    <mergeCell ref="A17:N17"/>
    <mergeCell ref="A2:L2"/>
    <mergeCell ref="L5:L6"/>
    <mergeCell ref="M5:M6"/>
    <mergeCell ref="B5:K6"/>
    <mergeCell ref="K4:N4"/>
    <mergeCell ref="N5:N6"/>
    <mergeCell ref="A4:A6"/>
  </mergeCells>
  <pageMargins left="0.23622047244094491" right="0.23622047244094491" top="0.74803149606299213" bottom="0.74803149606299213" header="0.31496062992125984" footer="0.31496062992125984"/>
  <pageSetup paperSize="9" scale="95" orientation="landscape"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4"/>
  <sheetViews>
    <sheetView zoomScaleNormal="100" workbookViewId="0"/>
  </sheetViews>
  <sheetFormatPr defaultRowHeight="12.75"/>
  <cols>
    <col min="1" max="1" width="21.42578125" style="70" customWidth="1"/>
    <col min="2" max="7" width="12.7109375" style="70" customWidth="1"/>
    <col min="8" max="8" width="12.7109375" style="78" customWidth="1"/>
    <col min="9" max="16" width="12.7109375" style="70" customWidth="1"/>
    <col min="17" max="17" width="12.7109375" style="135" customWidth="1"/>
    <col min="18" max="18" width="12.7109375" style="70" customWidth="1"/>
    <col min="19" max="119" width="8.7109375" style="70" customWidth="1"/>
    <col min="120" max="254" width="9.140625" style="70"/>
    <col min="255" max="255" width="2.42578125" style="70" customWidth="1"/>
    <col min="256" max="256" width="20.5703125" style="70" customWidth="1"/>
    <col min="257" max="257" width="11" style="70" customWidth="1"/>
    <col min="258" max="259" width="9.140625" style="70" customWidth="1"/>
    <col min="260" max="260" width="9.7109375" style="70" customWidth="1"/>
    <col min="261" max="261" width="10.140625" style="70" customWidth="1"/>
    <col min="262" max="262" width="9.85546875" style="70" customWidth="1"/>
    <col min="263" max="263" width="9.28515625" style="70" customWidth="1"/>
    <col min="264" max="264" width="11.5703125" style="70" customWidth="1"/>
    <col min="265" max="268" width="8.7109375" style="70" customWidth="1"/>
    <col min="269" max="269" width="9.85546875" style="70" customWidth="1"/>
    <col min="270" max="270" width="8.7109375" style="70" customWidth="1"/>
    <col min="271" max="271" width="10" style="70" customWidth="1"/>
    <col min="272" max="272" width="8.7109375" style="70" customWidth="1"/>
    <col min="273" max="273" width="9.7109375" style="70" customWidth="1"/>
    <col min="274" max="274" width="2.28515625" style="70" customWidth="1"/>
    <col min="275" max="375" width="8.7109375" style="70" customWidth="1"/>
    <col min="376" max="510" width="9.140625" style="70"/>
    <col min="511" max="511" width="2.42578125" style="70" customWidth="1"/>
    <col min="512" max="512" width="20.5703125" style="70" customWidth="1"/>
    <col min="513" max="513" width="11" style="70" customWidth="1"/>
    <col min="514" max="515" width="9.140625" style="70" customWidth="1"/>
    <col min="516" max="516" width="9.7109375" style="70" customWidth="1"/>
    <col min="517" max="517" width="10.140625" style="70" customWidth="1"/>
    <col min="518" max="518" width="9.85546875" style="70" customWidth="1"/>
    <col min="519" max="519" width="9.28515625" style="70" customWidth="1"/>
    <col min="520" max="520" width="11.5703125" style="70" customWidth="1"/>
    <col min="521" max="524" width="8.7109375" style="70" customWidth="1"/>
    <col min="525" max="525" width="9.85546875" style="70" customWidth="1"/>
    <col min="526" max="526" width="8.7109375" style="70" customWidth="1"/>
    <col min="527" max="527" width="10" style="70" customWidth="1"/>
    <col min="528" max="528" width="8.7109375" style="70" customWidth="1"/>
    <col min="529" max="529" width="9.7109375" style="70" customWidth="1"/>
    <col min="530" max="530" width="2.28515625" style="70" customWidth="1"/>
    <col min="531" max="631" width="8.7109375" style="70" customWidth="1"/>
    <col min="632" max="766" width="9.140625" style="70"/>
    <col min="767" max="767" width="2.42578125" style="70" customWidth="1"/>
    <col min="768" max="768" width="20.5703125" style="70" customWidth="1"/>
    <col min="769" max="769" width="11" style="70" customWidth="1"/>
    <col min="770" max="771" width="9.140625" style="70" customWidth="1"/>
    <col min="772" max="772" width="9.7109375" style="70" customWidth="1"/>
    <col min="773" max="773" width="10.140625" style="70" customWidth="1"/>
    <col min="774" max="774" width="9.85546875" style="70" customWidth="1"/>
    <col min="775" max="775" width="9.28515625" style="70" customWidth="1"/>
    <col min="776" max="776" width="11.5703125" style="70" customWidth="1"/>
    <col min="777" max="780" width="8.7109375" style="70" customWidth="1"/>
    <col min="781" max="781" width="9.85546875" style="70" customWidth="1"/>
    <col min="782" max="782" width="8.7109375" style="70" customWidth="1"/>
    <col min="783" max="783" width="10" style="70" customWidth="1"/>
    <col min="784" max="784" width="8.7109375" style="70" customWidth="1"/>
    <col min="785" max="785" width="9.7109375" style="70" customWidth="1"/>
    <col min="786" max="786" width="2.28515625" style="70" customWidth="1"/>
    <col min="787" max="887" width="8.7109375" style="70" customWidth="1"/>
    <col min="888" max="1022" width="9.140625" style="70"/>
    <col min="1023" max="1023" width="2.42578125" style="70" customWidth="1"/>
    <col min="1024" max="1024" width="20.5703125" style="70" customWidth="1"/>
    <col min="1025" max="1025" width="11" style="70" customWidth="1"/>
    <col min="1026" max="1027" width="9.140625" style="70" customWidth="1"/>
    <col min="1028" max="1028" width="9.7109375" style="70" customWidth="1"/>
    <col min="1029" max="1029" width="10.140625" style="70" customWidth="1"/>
    <col min="1030" max="1030" width="9.85546875" style="70" customWidth="1"/>
    <col min="1031" max="1031" width="9.28515625" style="70" customWidth="1"/>
    <col min="1032" max="1032" width="11.5703125" style="70" customWidth="1"/>
    <col min="1033" max="1036" width="8.7109375" style="70" customWidth="1"/>
    <col min="1037" max="1037" width="9.85546875" style="70" customWidth="1"/>
    <col min="1038" max="1038" width="8.7109375" style="70" customWidth="1"/>
    <col min="1039" max="1039" width="10" style="70" customWidth="1"/>
    <col min="1040" max="1040" width="8.7109375" style="70" customWidth="1"/>
    <col min="1041" max="1041" width="9.7109375" style="70" customWidth="1"/>
    <col min="1042" max="1042" width="2.28515625" style="70" customWidth="1"/>
    <col min="1043" max="1143" width="8.7109375" style="70" customWidth="1"/>
    <col min="1144" max="1278" width="9.140625" style="70"/>
    <col min="1279" max="1279" width="2.42578125" style="70" customWidth="1"/>
    <col min="1280" max="1280" width="20.5703125" style="70" customWidth="1"/>
    <col min="1281" max="1281" width="11" style="70" customWidth="1"/>
    <col min="1282" max="1283" width="9.140625" style="70" customWidth="1"/>
    <col min="1284" max="1284" width="9.7109375" style="70" customWidth="1"/>
    <col min="1285" max="1285" width="10.140625" style="70" customWidth="1"/>
    <col min="1286" max="1286" width="9.85546875" style="70" customWidth="1"/>
    <col min="1287" max="1287" width="9.28515625" style="70" customWidth="1"/>
    <col min="1288" max="1288" width="11.5703125" style="70" customWidth="1"/>
    <col min="1289" max="1292" width="8.7109375" style="70" customWidth="1"/>
    <col min="1293" max="1293" width="9.85546875" style="70" customWidth="1"/>
    <col min="1294" max="1294" width="8.7109375" style="70" customWidth="1"/>
    <col min="1295" max="1295" width="10" style="70" customWidth="1"/>
    <col min="1296" max="1296" width="8.7109375" style="70" customWidth="1"/>
    <col min="1297" max="1297" width="9.7109375" style="70" customWidth="1"/>
    <col min="1298" max="1298" width="2.28515625" style="70" customWidth="1"/>
    <col min="1299" max="1399" width="8.7109375" style="70" customWidth="1"/>
    <col min="1400" max="1534" width="9.140625" style="70"/>
    <col min="1535" max="1535" width="2.42578125" style="70" customWidth="1"/>
    <col min="1536" max="1536" width="20.5703125" style="70" customWidth="1"/>
    <col min="1537" max="1537" width="11" style="70" customWidth="1"/>
    <col min="1538" max="1539" width="9.140625" style="70" customWidth="1"/>
    <col min="1540" max="1540" width="9.7109375" style="70" customWidth="1"/>
    <col min="1541" max="1541" width="10.140625" style="70" customWidth="1"/>
    <col min="1542" max="1542" width="9.85546875" style="70" customWidth="1"/>
    <col min="1543" max="1543" width="9.28515625" style="70" customWidth="1"/>
    <col min="1544" max="1544" width="11.5703125" style="70" customWidth="1"/>
    <col min="1545" max="1548" width="8.7109375" style="70" customWidth="1"/>
    <col min="1549" max="1549" width="9.85546875" style="70" customWidth="1"/>
    <col min="1550" max="1550" width="8.7109375" style="70" customWidth="1"/>
    <col min="1551" max="1551" width="10" style="70" customWidth="1"/>
    <col min="1552" max="1552" width="8.7109375" style="70" customWidth="1"/>
    <col min="1553" max="1553" width="9.7109375" style="70" customWidth="1"/>
    <col min="1554" max="1554" width="2.28515625" style="70" customWidth="1"/>
    <col min="1555" max="1655" width="8.7109375" style="70" customWidth="1"/>
    <col min="1656" max="1790" width="9.140625" style="70"/>
    <col min="1791" max="1791" width="2.42578125" style="70" customWidth="1"/>
    <col min="1792" max="1792" width="20.5703125" style="70" customWidth="1"/>
    <col min="1793" max="1793" width="11" style="70" customWidth="1"/>
    <col min="1794" max="1795" width="9.140625" style="70" customWidth="1"/>
    <col min="1796" max="1796" width="9.7109375" style="70" customWidth="1"/>
    <col min="1797" max="1797" width="10.140625" style="70" customWidth="1"/>
    <col min="1798" max="1798" width="9.85546875" style="70" customWidth="1"/>
    <col min="1799" max="1799" width="9.28515625" style="70" customWidth="1"/>
    <col min="1800" max="1800" width="11.5703125" style="70" customWidth="1"/>
    <col min="1801" max="1804" width="8.7109375" style="70" customWidth="1"/>
    <col min="1805" max="1805" width="9.85546875" style="70" customWidth="1"/>
    <col min="1806" max="1806" width="8.7109375" style="70" customWidth="1"/>
    <col min="1807" max="1807" width="10" style="70" customWidth="1"/>
    <col min="1808" max="1808" width="8.7109375" style="70" customWidth="1"/>
    <col min="1809" max="1809" width="9.7109375" style="70" customWidth="1"/>
    <col min="1810" max="1810" width="2.28515625" style="70" customWidth="1"/>
    <col min="1811" max="1911" width="8.7109375" style="70" customWidth="1"/>
    <col min="1912" max="2046" width="9.140625" style="70"/>
    <col min="2047" max="2047" width="2.42578125" style="70" customWidth="1"/>
    <col min="2048" max="2048" width="20.5703125" style="70" customWidth="1"/>
    <col min="2049" max="2049" width="11" style="70" customWidth="1"/>
    <col min="2050" max="2051" width="9.140625" style="70" customWidth="1"/>
    <col min="2052" max="2052" width="9.7109375" style="70" customWidth="1"/>
    <col min="2053" max="2053" width="10.140625" style="70" customWidth="1"/>
    <col min="2054" max="2054" width="9.85546875" style="70" customWidth="1"/>
    <col min="2055" max="2055" width="9.28515625" style="70" customWidth="1"/>
    <col min="2056" max="2056" width="11.5703125" style="70" customWidth="1"/>
    <col min="2057" max="2060" width="8.7109375" style="70" customWidth="1"/>
    <col min="2061" max="2061" width="9.85546875" style="70" customWidth="1"/>
    <col min="2062" max="2062" width="8.7109375" style="70" customWidth="1"/>
    <col min="2063" max="2063" width="10" style="70" customWidth="1"/>
    <col min="2064" max="2064" width="8.7109375" style="70" customWidth="1"/>
    <col min="2065" max="2065" width="9.7109375" style="70" customWidth="1"/>
    <col min="2066" max="2066" width="2.28515625" style="70" customWidth="1"/>
    <col min="2067" max="2167" width="8.7109375" style="70" customWidth="1"/>
    <col min="2168" max="2302" width="9.140625" style="70"/>
    <col min="2303" max="2303" width="2.42578125" style="70" customWidth="1"/>
    <col min="2304" max="2304" width="20.5703125" style="70" customWidth="1"/>
    <col min="2305" max="2305" width="11" style="70" customWidth="1"/>
    <col min="2306" max="2307" width="9.140625" style="70" customWidth="1"/>
    <col min="2308" max="2308" width="9.7109375" style="70" customWidth="1"/>
    <col min="2309" max="2309" width="10.140625" style="70" customWidth="1"/>
    <col min="2310" max="2310" width="9.85546875" style="70" customWidth="1"/>
    <col min="2311" max="2311" width="9.28515625" style="70" customWidth="1"/>
    <col min="2312" max="2312" width="11.5703125" style="70" customWidth="1"/>
    <col min="2313" max="2316" width="8.7109375" style="70" customWidth="1"/>
    <col min="2317" max="2317" width="9.85546875" style="70" customWidth="1"/>
    <col min="2318" max="2318" width="8.7109375" style="70" customWidth="1"/>
    <col min="2319" max="2319" width="10" style="70" customWidth="1"/>
    <col min="2320" max="2320" width="8.7109375" style="70" customWidth="1"/>
    <col min="2321" max="2321" width="9.7109375" style="70" customWidth="1"/>
    <col min="2322" max="2322" width="2.28515625" style="70" customWidth="1"/>
    <col min="2323" max="2423" width="8.7109375" style="70" customWidth="1"/>
    <col min="2424" max="2558" width="9.140625" style="70"/>
    <col min="2559" max="2559" width="2.42578125" style="70" customWidth="1"/>
    <col min="2560" max="2560" width="20.5703125" style="70" customWidth="1"/>
    <col min="2561" max="2561" width="11" style="70" customWidth="1"/>
    <col min="2562" max="2563" width="9.140625" style="70" customWidth="1"/>
    <col min="2564" max="2564" width="9.7109375" style="70" customWidth="1"/>
    <col min="2565" max="2565" width="10.140625" style="70" customWidth="1"/>
    <col min="2566" max="2566" width="9.85546875" style="70" customWidth="1"/>
    <col min="2567" max="2567" width="9.28515625" style="70" customWidth="1"/>
    <col min="2568" max="2568" width="11.5703125" style="70" customWidth="1"/>
    <col min="2569" max="2572" width="8.7109375" style="70" customWidth="1"/>
    <col min="2573" max="2573" width="9.85546875" style="70" customWidth="1"/>
    <col min="2574" max="2574" width="8.7109375" style="70" customWidth="1"/>
    <col min="2575" max="2575" width="10" style="70" customWidth="1"/>
    <col min="2576" max="2576" width="8.7109375" style="70" customWidth="1"/>
    <col min="2577" max="2577" width="9.7109375" style="70" customWidth="1"/>
    <col min="2578" max="2578" width="2.28515625" style="70" customWidth="1"/>
    <col min="2579" max="2679" width="8.7109375" style="70" customWidth="1"/>
    <col min="2680" max="2814" width="9.140625" style="70"/>
    <col min="2815" max="2815" width="2.42578125" style="70" customWidth="1"/>
    <col min="2816" max="2816" width="20.5703125" style="70" customWidth="1"/>
    <col min="2817" max="2817" width="11" style="70" customWidth="1"/>
    <col min="2818" max="2819" width="9.140625" style="70" customWidth="1"/>
    <col min="2820" max="2820" width="9.7109375" style="70" customWidth="1"/>
    <col min="2821" max="2821" width="10.140625" style="70" customWidth="1"/>
    <col min="2822" max="2822" width="9.85546875" style="70" customWidth="1"/>
    <col min="2823" max="2823" width="9.28515625" style="70" customWidth="1"/>
    <col min="2824" max="2824" width="11.5703125" style="70" customWidth="1"/>
    <col min="2825" max="2828" width="8.7109375" style="70" customWidth="1"/>
    <col min="2829" max="2829" width="9.85546875" style="70" customWidth="1"/>
    <col min="2830" max="2830" width="8.7109375" style="70" customWidth="1"/>
    <col min="2831" max="2831" width="10" style="70" customWidth="1"/>
    <col min="2832" max="2832" width="8.7109375" style="70" customWidth="1"/>
    <col min="2833" max="2833" width="9.7109375" style="70" customWidth="1"/>
    <col min="2834" max="2834" width="2.28515625" style="70" customWidth="1"/>
    <col min="2835" max="2935" width="8.7109375" style="70" customWidth="1"/>
    <col min="2936" max="3070" width="9.140625" style="70"/>
    <col min="3071" max="3071" width="2.42578125" style="70" customWidth="1"/>
    <col min="3072" max="3072" width="20.5703125" style="70" customWidth="1"/>
    <col min="3073" max="3073" width="11" style="70" customWidth="1"/>
    <col min="3074" max="3075" width="9.140625" style="70" customWidth="1"/>
    <col min="3076" max="3076" width="9.7109375" style="70" customWidth="1"/>
    <col min="3077" max="3077" width="10.140625" style="70" customWidth="1"/>
    <col min="3078" max="3078" width="9.85546875" style="70" customWidth="1"/>
    <col min="3079" max="3079" width="9.28515625" style="70" customWidth="1"/>
    <col min="3080" max="3080" width="11.5703125" style="70" customWidth="1"/>
    <col min="3081" max="3084" width="8.7109375" style="70" customWidth="1"/>
    <col min="3085" max="3085" width="9.85546875" style="70" customWidth="1"/>
    <col min="3086" max="3086" width="8.7109375" style="70" customWidth="1"/>
    <col min="3087" max="3087" width="10" style="70" customWidth="1"/>
    <col min="3088" max="3088" width="8.7109375" style="70" customWidth="1"/>
    <col min="3089" max="3089" width="9.7109375" style="70" customWidth="1"/>
    <col min="3090" max="3090" width="2.28515625" style="70" customWidth="1"/>
    <col min="3091" max="3191" width="8.7109375" style="70" customWidth="1"/>
    <col min="3192" max="3326" width="9.140625" style="70"/>
    <col min="3327" max="3327" width="2.42578125" style="70" customWidth="1"/>
    <col min="3328" max="3328" width="20.5703125" style="70" customWidth="1"/>
    <col min="3329" max="3329" width="11" style="70" customWidth="1"/>
    <col min="3330" max="3331" width="9.140625" style="70" customWidth="1"/>
    <col min="3332" max="3332" width="9.7109375" style="70" customWidth="1"/>
    <col min="3333" max="3333" width="10.140625" style="70" customWidth="1"/>
    <col min="3334" max="3334" width="9.85546875" style="70" customWidth="1"/>
    <col min="3335" max="3335" width="9.28515625" style="70" customWidth="1"/>
    <col min="3336" max="3336" width="11.5703125" style="70" customWidth="1"/>
    <col min="3337" max="3340" width="8.7109375" style="70" customWidth="1"/>
    <col min="3341" max="3341" width="9.85546875" style="70" customWidth="1"/>
    <col min="3342" max="3342" width="8.7109375" style="70" customWidth="1"/>
    <col min="3343" max="3343" width="10" style="70" customWidth="1"/>
    <col min="3344" max="3344" width="8.7109375" style="70" customWidth="1"/>
    <col min="3345" max="3345" width="9.7109375" style="70" customWidth="1"/>
    <col min="3346" max="3346" width="2.28515625" style="70" customWidth="1"/>
    <col min="3347" max="3447" width="8.7109375" style="70" customWidth="1"/>
    <col min="3448" max="3582" width="9.140625" style="70"/>
    <col min="3583" max="3583" width="2.42578125" style="70" customWidth="1"/>
    <col min="3584" max="3584" width="20.5703125" style="70" customWidth="1"/>
    <col min="3585" max="3585" width="11" style="70" customWidth="1"/>
    <col min="3586" max="3587" width="9.140625" style="70" customWidth="1"/>
    <col min="3588" max="3588" width="9.7109375" style="70" customWidth="1"/>
    <col min="3589" max="3589" width="10.140625" style="70" customWidth="1"/>
    <col min="3590" max="3590" width="9.85546875" style="70" customWidth="1"/>
    <col min="3591" max="3591" width="9.28515625" style="70" customWidth="1"/>
    <col min="3592" max="3592" width="11.5703125" style="70" customWidth="1"/>
    <col min="3593" max="3596" width="8.7109375" style="70" customWidth="1"/>
    <col min="3597" max="3597" width="9.85546875" style="70" customWidth="1"/>
    <col min="3598" max="3598" width="8.7109375" style="70" customWidth="1"/>
    <col min="3599" max="3599" width="10" style="70" customWidth="1"/>
    <col min="3600" max="3600" width="8.7109375" style="70" customWidth="1"/>
    <col min="3601" max="3601" width="9.7109375" style="70" customWidth="1"/>
    <col min="3602" max="3602" width="2.28515625" style="70" customWidth="1"/>
    <col min="3603" max="3703" width="8.7109375" style="70" customWidth="1"/>
    <col min="3704" max="3838" width="9.140625" style="70"/>
    <col min="3839" max="3839" width="2.42578125" style="70" customWidth="1"/>
    <col min="3840" max="3840" width="20.5703125" style="70" customWidth="1"/>
    <col min="3841" max="3841" width="11" style="70" customWidth="1"/>
    <col min="3842" max="3843" width="9.140625" style="70" customWidth="1"/>
    <col min="3844" max="3844" width="9.7109375" style="70" customWidth="1"/>
    <col min="3845" max="3845" width="10.140625" style="70" customWidth="1"/>
    <col min="3846" max="3846" width="9.85546875" style="70" customWidth="1"/>
    <col min="3847" max="3847" width="9.28515625" style="70" customWidth="1"/>
    <col min="3848" max="3848" width="11.5703125" style="70" customWidth="1"/>
    <col min="3849" max="3852" width="8.7109375" style="70" customWidth="1"/>
    <col min="3853" max="3853" width="9.85546875" style="70" customWidth="1"/>
    <col min="3854" max="3854" width="8.7109375" style="70" customWidth="1"/>
    <col min="3855" max="3855" width="10" style="70" customWidth="1"/>
    <col min="3856" max="3856" width="8.7109375" style="70" customWidth="1"/>
    <col min="3857" max="3857" width="9.7109375" style="70" customWidth="1"/>
    <col min="3858" max="3858" width="2.28515625" style="70" customWidth="1"/>
    <col min="3859" max="3959" width="8.7109375" style="70" customWidth="1"/>
    <col min="3960" max="4094" width="9.140625" style="70"/>
    <col min="4095" max="4095" width="2.42578125" style="70" customWidth="1"/>
    <col min="4096" max="4096" width="20.5703125" style="70" customWidth="1"/>
    <col min="4097" max="4097" width="11" style="70" customWidth="1"/>
    <col min="4098" max="4099" width="9.140625" style="70" customWidth="1"/>
    <col min="4100" max="4100" width="9.7109375" style="70" customWidth="1"/>
    <col min="4101" max="4101" width="10.140625" style="70" customWidth="1"/>
    <col min="4102" max="4102" width="9.85546875" style="70" customWidth="1"/>
    <col min="4103" max="4103" width="9.28515625" style="70" customWidth="1"/>
    <col min="4104" max="4104" width="11.5703125" style="70" customWidth="1"/>
    <col min="4105" max="4108" width="8.7109375" style="70" customWidth="1"/>
    <col min="4109" max="4109" width="9.85546875" style="70" customWidth="1"/>
    <col min="4110" max="4110" width="8.7109375" style="70" customWidth="1"/>
    <col min="4111" max="4111" width="10" style="70" customWidth="1"/>
    <col min="4112" max="4112" width="8.7109375" style="70" customWidth="1"/>
    <col min="4113" max="4113" width="9.7109375" style="70" customWidth="1"/>
    <col min="4114" max="4114" width="2.28515625" style="70" customWidth="1"/>
    <col min="4115" max="4215" width="8.7109375" style="70" customWidth="1"/>
    <col min="4216" max="4350" width="9.140625" style="70"/>
    <col min="4351" max="4351" width="2.42578125" style="70" customWidth="1"/>
    <col min="4352" max="4352" width="20.5703125" style="70" customWidth="1"/>
    <col min="4353" max="4353" width="11" style="70" customWidth="1"/>
    <col min="4354" max="4355" width="9.140625" style="70" customWidth="1"/>
    <col min="4356" max="4356" width="9.7109375" style="70" customWidth="1"/>
    <col min="4357" max="4357" width="10.140625" style="70" customWidth="1"/>
    <col min="4358" max="4358" width="9.85546875" style="70" customWidth="1"/>
    <col min="4359" max="4359" width="9.28515625" style="70" customWidth="1"/>
    <col min="4360" max="4360" width="11.5703125" style="70" customWidth="1"/>
    <col min="4361" max="4364" width="8.7109375" style="70" customWidth="1"/>
    <col min="4365" max="4365" width="9.85546875" style="70" customWidth="1"/>
    <col min="4366" max="4366" width="8.7109375" style="70" customWidth="1"/>
    <col min="4367" max="4367" width="10" style="70" customWidth="1"/>
    <col min="4368" max="4368" width="8.7109375" style="70" customWidth="1"/>
    <col min="4369" max="4369" width="9.7109375" style="70" customWidth="1"/>
    <col min="4370" max="4370" width="2.28515625" style="70" customWidth="1"/>
    <col min="4371" max="4471" width="8.7109375" style="70" customWidth="1"/>
    <col min="4472" max="4606" width="9.140625" style="70"/>
    <col min="4607" max="4607" width="2.42578125" style="70" customWidth="1"/>
    <col min="4608" max="4608" width="20.5703125" style="70" customWidth="1"/>
    <col min="4609" max="4609" width="11" style="70" customWidth="1"/>
    <col min="4610" max="4611" width="9.140625" style="70" customWidth="1"/>
    <col min="4612" max="4612" width="9.7109375" style="70" customWidth="1"/>
    <col min="4613" max="4613" width="10.140625" style="70" customWidth="1"/>
    <col min="4614" max="4614" width="9.85546875" style="70" customWidth="1"/>
    <col min="4615" max="4615" width="9.28515625" style="70" customWidth="1"/>
    <col min="4616" max="4616" width="11.5703125" style="70" customWidth="1"/>
    <col min="4617" max="4620" width="8.7109375" style="70" customWidth="1"/>
    <col min="4621" max="4621" width="9.85546875" style="70" customWidth="1"/>
    <col min="4622" max="4622" width="8.7109375" style="70" customWidth="1"/>
    <col min="4623" max="4623" width="10" style="70" customWidth="1"/>
    <col min="4624" max="4624" width="8.7109375" style="70" customWidth="1"/>
    <col min="4625" max="4625" width="9.7109375" style="70" customWidth="1"/>
    <col min="4626" max="4626" width="2.28515625" style="70" customWidth="1"/>
    <col min="4627" max="4727" width="8.7109375" style="70" customWidth="1"/>
    <col min="4728" max="4862" width="9.140625" style="70"/>
    <col min="4863" max="4863" width="2.42578125" style="70" customWidth="1"/>
    <col min="4864" max="4864" width="20.5703125" style="70" customWidth="1"/>
    <col min="4865" max="4865" width="11" style="70" customWidth="1"/>
    <col min="4866" max="4867" width="9.140625" style="70" customWidth="1"/>
    <col min="4868" max="4868" width="9.7109375" style="70" customWidth="1"/>
    <col min="4869" max="4869" width="10.140625" style="70" customWidth="1"/>
    <col min="4870" max="4870" width="9.85546875" style="70" customWidth="1"/>
    <col min="4871" max="4871" width="9.28515625" style="70" customWidth="1"/>
    <col min="4872" max="4872" width="11.5703125" style="70" customWidth="1"/>
    <col min="4873" max="4876" width="8.7109375" style="70" customWidth="1"/>
    <col min="4877" max="4877" width="9.85546875" style="70" customWidth="1"/>
    <col min="4878" max="4878" width="8.7109375" style="70" customWidth="1"/>
    <col min="4879" max="4879" width="10" style="70" customWidth="1"/>
    <col min="4880" max="4880" width="8.7109375" style="70" customWidth="1"/>
    <col min="4881" max="4881" width="9.7109375" style="70" customWidth="1"/>
    <col min="4882" max="4882" width="2.28515625" style="70" customWidth="1"/>
    <col min="4883" max="4983" width="8.7109375" style="70" customWidth="1"/>
    <col min="4984" max="5118" width="9.140625" style="70"/>
    <col min="5119" max="5119" width="2.42578125" style="70" customWidth="1"/>
    <col min="5120" max="5120" width="20.5703125" style="70" customWidth="1"/>
    <col min="5121" max="5121" width="11" style="70" customWidth="1"/>
    <col min="5122" max="5123" width="9.140625" style="70" customWidth="1"/>
    <col min="5124" max="5124" width="9.7109375" style="70" customWidth="1"/>
    <col min="5125" max="5125" width="10.140625" style="70" customWidth="1"/>
    <col min="5126" max="5126" width="9.85546875" style="70" customWidth="1"/>
    <col min="5127" max="5127" width="9.28515625" style="70" customWidth="1"/>
    <col min="5128" max="5128" width="11.5703125" style="70" customWidth="1"/>
    <col min="5129" max="5132" width="8.7109375" style="70" customWidth="1"/>
    <col min="5133" max="5133" width="9.85546875" style="70" customWidth="1"/>
    <col min="5134" max="5134" width="8.7109375" style="70" customWidth="1"/>
    <col min="5135" max="5135" width="10" style="70" customWidth="1"/>
    <col min="5136" max="5136" width="8.7109375" style="70" customWidth="1"/>
    <col min="5137" max="5137" width="9.7109375" style="70" customWidth="1"/>
    <col min="5138" max="5138" width="2.28515625" style="70" customWidth="1"/>
    <col min="5139" max="5239" width="8.7109375" style="70" customWidth="1"/>
    <col min="5240" max="5374" width="9.140625" style="70"/>
    <col min="5375" max="5375" width="2.42578125" style="70" customWidth="1"/>
    <col min="5376" max="5376" width="20.5703125" style="70" customWidth="1"/>
    <col min="5377" max="5377" width="11" style="70" customWidth="1"/>
    <col min="5378" max="5379" width="9.140625" style="70" customWidth="1"/>
    <col min="5380" max="5380" width="9.7109375" style="70" customWidth="1"/>
    <col min="5381" max="5381" width="10.140625" style="70" customWidth="1"/>
    <col min="5382" max="5382" width="9.85546875" style="70" customWidth="1"/>
    <col min="5383" max="5383" width="9.28515625" style="70" customWidth="1"/>
    <col min="5384" max="5384" width="11.5703125" style="70" customWidth="1"/>
    <col min="5385" max="5388" width="8.7109375" style="70" customWidth="1"/>
    <col min="5389" max="5389" width="9.85546875" style="70" customWidth="1"/>
    <col min="5390" max="5390" width="8.7109375" style="70" customWidth="1"/>
    <col min="5391" max="5391" width="10" style="70" customWidth="1"/>
    <col min="5392" max="5392" width="8.7109375" style="70" customWidth="1"/>
    <col min="5393" max="5393" width="9.7109375" style="70" customWidth="1"/>
    <col min="5394" max="5394" width="2.28515625" style="70" customWidth="1"/>
    <col min="5395" max="5495" width="8.7109375" style="70" customWidth="1"/>
    <col min="5496" max="5630" width="9.140625" style="70"/>
    <col min="5631" max="5631" width="2.42578125" style="70" customWidth="1"/>
    <col min="5632" max="5632" width="20.5703125" style="70" customWidth="1"/>
    <col min="5633" max="5633" width="11" style="70" customWidth="1"/>
    <col min="5634" max="5635" width="9.140625" style="70" customWidth="1"/>
    <col min="5636" max="5636" width="9.7109375" style="70" customWidth="1"/>
    <col min="5637" max="5637" width="10.140625" style="70" customWidth="1"/>
    <col min="5638" max="5638" width="9.85546875" style="70" customWidth="1"/>
    <col min="5639" max="5639" width="9.28515625" style="70" customWidth="1"/>
    <col min="5640" max="5640" width="11.5703125" style="70" customWidth="1"/>
    <col min="5641" max="5644" width="8.7109375" style="70" customWidth="1"/>
    <col min="5645" max="5645" width="9.85546875" style="70" customWidth="1"/>
    <col min="5646" max="5646" width="8.7109375" style="70" customWidth="1"/>
    <col min="5647" max="5647" width="10" style="70" customWidth="1"/>
    <col min="5648" max="5648" width="8.7109375" style="70" customWidth="1"/>
    <col min="5649" max="5649" width="9.7109375" style="70" customWidth="1"/>
    <col min="5650" max="5650" width="2.28515625" style="70" customWidth="1"/>
    <col min="5651" max="5751" width="8.7109375" style="70" customWidth="1"/>
    <col min="5752" max="5886" width="9.140625" style="70"/>
    <col min="5887" max="5887" width="2.42578125" style="70" customWidth="1"/>
    <col min="5888" max="5888" width="20.5703125" style="70" customWidth="1"/>
    <col min="5889" max="5889" width="11" style="70" customWidth="1"/>
    <col min="5890" max="5891" width="9.140625" style="70" customWidth="1"/>
    <col min="5892" max="5892" width="9.7109375" style="70" customWidth="1"/>
    <col min="5893" max="5893" width="10.140625" style="70" customWidth="1"/>
    <col min="5894" max="5894" width="9.85546875" style="70" customWidth="1"/>
    <col min="5895" max="5895" width="9.28515625" style="70" customWidth="1"/>
    <col min="5896" max="5896" width="11.5703125" style="70" customWidth="1"/>
    <col min="5897" max="5900" width="8.7109375" style="70" customWidth="1"/>
    <col min="5901" max="5901" width="9.85546875" style="70" customWidth="1"/>
    <col min="5902" max="5902" width="8.7109375" style="70" customWidth="1"/>
    <col min="5903" max="5903" width="10" style="70" customWidth="1"/>
    <col min="5904" max="5904" width="8.7109375" style="70" customWidth="1"/>
    <col min="5905" max="5905" width="9.7109375" style="70" customWidth="1"/>
    <col min="5906" max="5906" width="2.28515625" style="70" customWidth="1"/>
    <col min="5907" max="6007" width="8.7109375" style="70" customWidth="1"/>
    <col min="6008" max="6142" width="9.140625" style="70"/>
    <col min="6143" max="6143" width="2.42578125" style="70" customWidth="1"/>
    <col min="6144" max="6144" width="20.5703125" style="70" customWidth="1"/>
    <col min="6145" max="6145" width="11" style="70" customWidth="1"/>
    <col min="6146" max="6147" width="9.140625" style="70" customWidth="1"/>
    <col min="6148" max="6148" width="9.7109375" style="70" customWidth="1"/>
    <col min="6149" max="6149" width="10.140625" style="70" customWidth="1"/>
    <col min="6150" max="6150" width="9.85546875" style="70" customWidth="1"/>
    <col min="6151" max="6151" width="9.28515625" style="70" customWidth="1"/>
    <col min="6152" max="6152" width="11.5703125" style="70" customWidth="1"/>
    <col min="6153" max="6156" width="8.7109375" style="70" customWidth="1"/>
    <col min="6157" max="6157" width="9.85546875" style="70" customWidth="1"/>
    <col min="6158" max="6158" width="8.7109375" style="70" customWidth="1"/>
    <col min="6159" max="6159" width="10" style="70" customWidth="1"/>
    <col min="6160" max="6160" width="8.7109375" style="70" customWidth="1"/>
    <col min="6161" max="6161" width="9.7109375" style="70" customWidth="1"/>
    <col min="6162" max="6162" width="2.28515625" style="70" customWidth="1"/>
    <col min="6163" max="6263" width="8.7109375" style="70" customWidth="1"/>
    <col min="6264" max="6398" width="9.140625" style="70"/>
    <col min="6399" max="6399" width="2.42578125" style="70" customWidth="1"/>
    <col min="6400" max="6400" width="20.5703125" style="70" customWidth="1"/>
    <col min="6401" max="6401" width="11" style="70" customWidth="1"/>
    <col min="6402" max="6403" width="9.140625" style="70" customWidth="1"/>
    <col min="6404" max="6404" width="9.7109375" style="70" customWidth="1"/>
    <col min="6405" max="6405" width="10.140625" style="70" customWidth="1"/>
    <col min="6406" max="6406" width="9.85546875" style="70" customWidth="1"/>
    <col min="6407" max="6407" width="9.28515625" style="70" customWidth="1"/>
    <col min="6408" max="6408" width="11.5703125" style="70" customWidth="1"/>
    <col min="6409" max="6412" width="8.7109375" style="70" customWidth="1"/>
    <col min="6413" max="6413" width="9.85546875" style="70" customWidth="1"/>
    <col min="6414" max="6414" width="8.7109375" style="70" customWidth="1"/>
    <col min="6415" max="6415" width="10" style="70" customWidth="1"/>
    <col min="6416" max="6416" width="8.7109375" style="70" customWidth="1"/>
    <col min="6417" max="6417" width="9.7109375" style="70" customWidth="1"/>
    <col min="6418" max="6418" width="2.28515625" style="70" customWidth="1"/>
    <col min="6419" max="6519" width="8.7109375" style="70" customWidth="1"/>
    <col min="6520" max="6654" width="9.140625" style="70"/>
    <col min="6655" max="6655" width="2.42578125" style="70" customWidth="1"/>
    <col min="6656" max="6656" width="20.5703125" style="70" customWidth="1"/>
    <col min="6657" max="6657" width="11" style="70" customWidth="1"/>
    <col min="6658" max="6659" width="9.140625" style="70" customWidth="1"/>
    <col min="6660" max="6660" width="9.7109375" style="70" customWidth="1"/>
    <col min="6661" max="6661" width="10.140625" style="70" customWidth="1"/>
    <col min="6662" max="6662" width="9.85546875" style="70" customWidth="1"/>
    <col min="6663" max="6663" width="9.28515625" style="70" customWidth="1"/>
    <col min="6664" max="6664" width="11.5703125" style="70" customWidth="1"/>
    <col min="6665" max="6668" width="8.7109375" style="70" customWidth="1"/>
    <col min="6669" max="6669" width="9.85546875" style="70" customWidth="1"/>
    <col min="6670" max="6670" width="8.7109375" style="70" customWidth="1"/>
    <col min="6671" max="6671" width="10" style="70" customWidth="1"/>
    <col min="6672" max="6672" width="8.7109375" style="70" customWidth="1"/>
    <col min="6673" max="6673" width="9.7109375" style="70" customWidth="1"/>
    <col min="6674" max="6674" width="2.28515625" style="70" customWidth="1"/>
    <col min="6675" max="6775" width="8.7109375" style="70" customWidth="1"/>
    <col min="6776" max="6910" width="9.140625" style="70"/>
    <col min="6911" max="6911" width="2.42578125" style="70" customWidth="1"/>
    <col min="6912" max="6912" width="20.5703125" style="70" customWidth="1"/>
    <col min="6913" max="6913" width="11" style="70" customWidth="1"/>
    <col min="6914" max="6915" width="9.140625" style="70" customWidth="1"/>
    <col min="6916" max="6916" width="9.7109375" style="70" customWidth="1"/>
    <col min="6917" max="6917" width="10.140625" style="70" customWidth="1"/>
    <col min="6918" max="6918" width="9.85546875" style="70" customWidth="1"/>
    <col min="6919" max="6919" width="9.28515625" style="70" customWidth="1"/>
    <col min="6920" max="6920" width="11.5703125" style="70" customWidth="1"/>
    <col min="6921" max="6924" width="8.7109375" style="70" customWidth="1"/>
    <col min="6925" max="6925" width="9.85546875" style="70" customWidth="1"/>
    <col min="6926" max="6926" width="8.7109375" style="70" customWidth="1"/>
    <col min="6927" max="6927" width="10" style="70" customWidth="1"/>
    <col min="6928" max="6928" width="8.7109375" style="70" customWidth="1"/>
    <col min="6929" max="6929" width="9.7109375" style="70" customWidth="1"/>
    <col min="6930" max="6930" width="2.28515625" style="70" customWidth="1"/>
    <col min="6931" max="7031" width="8.7109375" style="70" customWidth="1"/>
    <col min="7032" max="7166" width="9.140625" style="70"/>
    <col min="7167" max="7167" width="2.42578125" style="70" customWidth="1"/>
    <col min="7168" max="7168" width="20.5703125" style="70" customWidth="1"/>
    <col min="7169" max="7169" width="11" style="70" customWidth="1"/>
    <col min="7170" max="7171" width="9.140625" style="70" customWidth="1"/>
    <col min="7172" max="7172" width="9.7109375" style="70" customWidth="1"/>
    <col min="7173" max="7173" width="10.140625" style="70" customWidth="1"/>
    <col min="7174" max="7174" width="9.85546875" style="70" customWidth="1"/>
    <col min="7175" max="7175" width="9.28515625" style="70" customWidth="1"/>
    <col min="7176" max="7176" width="11.5703125" style="70" customWidth="1"/>
    <col min="7177" max="7180" width="8.7109375" style="70" customWidth="1"/>
    <col min="7181" max="7181" width="9.85546875" style="70" customWidth="1"/>
    <col min="7182" max="7182" width="8.7109375" style="70" customWidth="1"/>
    <col min="7183" max="7183" width="10" style="70" customWidth="1"/>
    <col min="7184" max="7184" width="8.7109375" style="70" customWidth="1"/>
    <col min="7185" max="7185" width="9.7109375" style="70" customWidth="1"/>
    <col min="7186" max="7186" width="2.28515625" style="70" customWidth="1"/>
    <col min="7187" max="7287" width="8.7109375" style="70" customWidth="1"/>
    <col min="7288" max="7422" width="9.140625" style="70"/>
    <col min="7423" max="7423" width="2.42578125" style="70" customWidth="1"/>
    <col min="7424" max="7424" width="20.5703125" style="70" customWidth="1"/>
    <col min="7425" max="7425" width="11" style="70" customWidth="1"/>
    <col min="7426" max="7427" width="9.140625" style="70" customWidth="1"/>
    <col min="7428" max="7428" width="9.7109375" style="70" customWidth="1"/>
    <col min="7429" max="7429" width="10.140625" style="70" customWidth="1"/>
    <col min="7430" max="7430" width="9.85546875" style="70" customWidth="1"/>
    <col min="7431" max="7431" width="9.28515625" style="70" customWidth="1"/>
    <col min="7432" max="7432" width="11.5703125" style="70" customWidth="1"/>
    <col min="7433" max="7436" width="8.7109375" style="70" customWidth="1"/>
    <col min="7437" max="7437" width="9.85546875" style="70" customWidth="1"/>
    <col min="7438" max="7438" width="8.7109375" style="70" customWidth="1"/>
    <col min="7439" max="7439" width="10" style="70" customWidth="1"/>
    <col min="7440" max="7440" width="8.7109375" style="70" customWidth="1"/>
    <col min="7441" max="7441" width="9.7109375" style="70" customWidth="1"/>
    <col min="7442" max="7442" width="2.28515625" style="70" customWidth="1"/>
    <col min="7443" max="7543" width="8.7109375" style="70" customWidth="1"/>
    <col min="7544" max="7678" width="9.140625" style="70"/>
    <col min="7679" max="7679" width="2.42578125" style="70" customWidth="1"/>
    <col min="7680" max="7680" width="20.5703125" style="70" customWidth="1"/>
    <col min="7681" max="7681" width="11" style="70" customWidth="1"/>
    <col min="7682" max="7683" width="9.140625" style="70" customWidth="1"/>
    <col min="7684" max="7684" width="9.7109375" style="70" customWidth="1"/>
    <col min="7685" max="7685" width="10.140625" style="70" customWidth="1"/>
    <col min="7686" max="7686" width="9.85546875" style="70" customWidth="1"/>
    <col min="7687" max="7687" width="9.28515625" style="70" customWidth="1"/>
    <col min="7688" max="7688" width="11.5703125" style="70" customWidth="1"/>
    <col min="7689" max="7692" width="8.7109375" style="70" customWidth="1"/>
    <col min="7693" max="7693" width="9.85546875" style="70" customWidth="1"/>
    <col min="7694" max="7694" width="8.7109375" style="70" customWidth="1"/>
    <col min="7695" max="7695" width="10" style="70" customWidth="1"/>
    <col min="7696" max="7696" width="8.7109375" style="70" customWidth="1"/>
    <col min="7697" max="7697" width="9.7109375" style="70" customWidth="1"/>
    <col min="7698" max="7698" width="2.28515625" style="70" customWidth="1"/>
    <col min="7699" max="7799" width="8.7109375" style="70" customWidth="1"/>
    <col min="7800" max="7934" width="9.140625" style="70"/>
    <col min="7935" max="7935" width="2.42578125" style="70" customWidth="1"/>
    <col min="7936" max="7936" width="20.5703125" style="70" customWidth="1"/>
    <col min="7937" max="7937" width="11" style="70" customWidth="1"/>
    <col min="7938" max="7939" width="9.140625" style="70" customWidth="1"/>
    <col min="7940" max="7940" width="9.7109375" style="70" customWidth="1"/>
    <col min="7941" max="7941" width="10.140625" style="70" customWidth="1"/>
    <col min="7942" max="7942" width="9.85546875" style="70" customWidth="1"/>
    <col min="7943" max="7943" width="9.28515625" style="70" customWidth="1"/>
    <col min="7944" max="7944" width="11.5703125" style="70" customWidth="1"/>
    <col min="7945" max="7948" width="8.7109375" style="70" customWidth="1"/>
    <col min="7949" max="7949" width="9.85546875" style="70" customWidth="1"/>
    <col min="7950" max="7950" width="8.7109375" style="70" customWidth="1"/>
    <col min="7951" max="7951" width="10" style="70" customWidth="1"/>
    <col min="7952" max="7952" width="8.7109375" style="70" customWidth="1"/>
    <col min="7953" max="7953" width="9.7109375" style="70" customWidth="1"/>
    <col min="7954" max="7954" width="2.28515625" style="70" customWidth="1"/>
    <col min="7955" max="8055" width="8.7109375" style="70" customWidth="1"/>
    <col min="8056" max="8190" width="9.140625" style="70"/>
    <col min="8191" max="8191" width="2.42578125" style="70" customWidth="1"/>
    <col min="8192" max="8192" width="20.5703125" style="70" customWidth="1"/>
    <col min="8193" max="8193" width="11" style="70" customWidth="1"/>
    <col min="8194" max="8195" width="9.140625" style="70" customWidth="1"/>
    <col min="8196" max="8196" width="9.7109375" style="70" customWidth="1"/>
    <col min="8197" max="8197" width="10.140625" style="70" customWidth="1"/>
    <col min="8198" max="8198" width="9.85546875" style="70" customWidth="1"/>
    <col min="8199" max="8199" width="9.28515625" style="70" customWidth="1"/>
    <col min="8200" max="8200" width="11.5703125" style="70" customWidth="1"/>
    <col min="8201" max="8204" width="8.7109375" style="70" customWidth="1"/>
    <col min="8205" max="8205" width="9.85546875" style="70" customWidth="1"/>
    <col min="8206" max="8206" width="8.7109375" style="70" customWidth="1"/>
    <col min="8207" max="8207" width="10" style="70" customWidth="1"/>
    <col min="8208" max="8208" width="8.7109375" style="70" customWidth="1"/>
    <col min="8209" max="8209" width="9.7109375" style="70" customWidth="1"/>
    <col min="8210" max="8210" width="2.28515625" style="70" customWidth="1"/>
    <col min="8211" max="8311" width="8.7109375" style="70" customWidth="1"/>
    <col min="8312" max="8446" width="9.140625" style="70"/>
    <col min="8447" max="8447" width="2.42578125" style="70" customWidth="1"/>
    <col min="8448" max="8448" width="20.5703125" style="70" customWidth="1"/>
    <col min="8449" max="8449" width="11" style="70" customWidth="1"/>
    <col min="8450" max="8451" width="9.140625" style="70" customWidth="1"/>
    <col min="8452" max="8452" width="9.7109375" style="70" customWidth="1"/>
    <col min="8453" max="8453" width="10.140625" style="70" customWidth="1"/>
    <col min="8454" max="8454" width="9.85546875" style="70" customWidth="1"/>
    <col min="8455" max="8455" width="9.28515625" style="70" customWidth="1"/>
    <col min="8456" max="8456" width="11.5703125" style="70" customWidth="1"/>
    <col min="8457" max="8460" width="8.7109375" style="70" customWidth="1"/>
    <col min="8461" max="8461" width="9.85546875" style="70" customWidth="1"/>
    <col min="8462" max="8462" width="8.7109375" style="70" customWidth="1"/>
    <col min="8463" max="8463" width="10" style="70" customWidth="1"/>
    <col min="8464" max="8464" width="8.7109375" style="70" customWidth="1"/>
    <col min="8465" max="8465" width="9.7109375" style="70" customWidth="1"/>
    <col min="8466" max="8466" width="2.28515625" style="70" customWidth="1"/>
    <col min="8467" max="8567" width="8.7109375" style="70" customWidth="1"/>
    <col min="8568" max="8702" width="9.140625" style="70"/>
    <col min="8703" max="8703" width="2.42578125" style="70" customWidth="1"/>
    <col min="8704" max="8704" width="20.5703125" style="70" customWidth="1"/>
    <col min="8705" max="8705" width="11" style="70" customWidth="1"/>
    <col min="8706" max="8707" width="9.140625" style="70" customWidth="1"/>
    <col min="8708" max="8708" width="9.7109375" style="70" customWidth="1"/>
    <col min="8709" max="8709" width="10.140625" style="70" customWidth="1"/>
    <col min="8710" max="8710" width="9.85546875" style="70" customWidth="1"/>
    <col min="8711" max="8711" width="9.28515625" style="70" customWidth="1"/>
    <col min="8712" max="8712" width="11.5703125" style="70" customWidth="1"/>
    <col min="8713" max="8716" width="8.7109375" style="70" customWidth="1"/>
    <col min="8717" max="8717" width="9.85546875" style="70" customWidth="1"/>
    <col min="8718" max="8718" width="8.7109375" style="70" customWidth="1"/>
    <col min="8719" max="8719" width="10" style="70" customWidth="1"/>
    <col min="8720" max="8720" width="8.7109375" style="70" customWidth="1"/>
    <col min="8721" max="8721" width="9.7109375" style="70" customWidth="1"/>
    <col min="8722" max="8722" width="2.28515625" style="70" customWidth="1"/>
    <col min="8723" max="8823" width="8.7109375" style="70" customWidth="1"/>
    <col min="8824" max="8958" width="9.140625" style="70"/>
    <col min="8959" max="8959" width="2.42578125" style="70" customWidth="1"/>
    <col min="8960" max="8960" width="20.5703125" style="70" customWidth="1"/>
    <col min="8961" max="8961" width="11" style="70" customWidth="1"/>
    <col min="8962" max="8963" width="9.140625" style="70" customWidth="1"/>
    <col min="8964" max="8964" width="9.7109375" style="70" customWidth="1"/>
    <col min="8965" max="8965" width="10.140625" style="70" customWidth="1"/>
    <col min="8966" max="8966" width="9.85546875" style="70" customWidth="1"/>
    <col min="8967" max="8967" width="9.28515625" style="70" customWidth="1"/>
    <col min="8968" max="8968" width="11.5703125" style="70" customWidth="1"/>
    <col min="8969" max="8972" width="8.7109375" style="70" customWidth="1"/>
    <col min="8973" max="8973" width="9.85546875" style="70" customWidth="1"/>
    <col min="8974" max="8974" width="8.7109375" style="70" customWidth="1"/>
    <col min="8975" max="8975" width="10" style="70" customWidth="1"/>
    <col min="8976" max="8976" width="8.7109375" style="70" customWidth="1"/>
    <col min="8977" max="8977" width="9.7109375" style="70" customWidth="1"/>
    <col min="8978" max="8978" width="2.28515625" style="70" customWidth="1"/>
    <col min="8979" max="9079" width="8.7109375" style="70" customWidth="1"/>
    <col min="9080" max="9214" width="9.140625" style="70"/>
    <col min="9215" max="9215" width="2.42578125" style="70" customWidth="1"/>
    <col min="9216" max="9216" width="20.5703125" style="70" customWidth="1"/>
    <col min="9217" max="9217" width="11" style="70" customWidth="1"/>
    <col min="9218" max="9219" width="9.140625" style="70" customWidth="1"/>
    <col min="9220" max="9220" width="9.7109375" style="70" customWidth="1"/>
    <col min="9221" max="9221" width="10.140625" style="70" customWidth="1"/>
    <col min="9222" max="9222" width="9.85546875" style="70" customWidth="1"/>
    <col min="9223" max="9223" width="9.28515625" style="70" customWidth="1"/>
    <col min="9224" max="9224" width="11.5703125" style="70" customWidth="1"/>
    <col min="9225" max="9228" width="8.7109375" style="70" customWidth="1"/>
    <col min="9229" max="9229" width="9.85546875" style="70" customWidth="1"/>
    <col min="9230" max="9230" width="8.7109375" style="70" customWidth="1"/>
    <col min="9231" max="9231" width="10" style="70" customWidth="1"/>
    <col min="9232" max="9232" width="8.7109375" style="70" customWidth="1"/>
    <col min="9233" max="9233" width="9.7109375" style="70" customWidth="1"/>
    <col min="9234" max="9234" width="2.28515625" style="70" customWidth="1"/>
    <col min="9235" max="9335" width="8.7109375" style="70" customWidth="1"/>
    <col min="9336" max="9470" width="9.140625" style="70"/>
    <col min="9471" max="9471" width="2.42578125" style="70" customWidth="1"/>
    <col min="9472" max="9472" width="20.5703125" style="70" customWidth="1"/>
    <col min="9473" max="9473" width="11" style="70" customWidth="1"/>
    <col min="9474" max="9475" width="9.140625" style="70" customWidth="1"/>
    <col min="9476" max="9476" width="9.7109375" style="70" customWidth="1"/>
    <col min="9477" max="9477" width="10.140625" style="70" customWidth="1"/>
    <col min="9478" max="9478" width="9.85546875" style="70" customWidth="1"/>
    <col min="9479" max="9479" width="9.28515625" style="70" customWidth="1"/>
    <col min="9480" max="9480" width="11.5703125" style="70" customWidth="1"/>
    <col min="9481" max="9484" width="8.7109375" style="70" customWidth="1"/>
    <col min="9485" max="9485" width="9.85546875" style="70" customWidth="1"/>
    <col min="9486" max="9486" width="8.7109375" style="70" customWidth="1"/>
    <col min="9487" max="9487" width="10" style="70" customWidth="1"/>
    <col min="9488" max="9488" width="8.7109375" style="70" customWidth="1"/>
    <col min="9489" max="9489" width="9.7109375" style="70" customWidth="1"/>
    <col min="9490" max="9490" width="2.28515625" style="70" customWidth="1"/>
    <col min="9491" max="9591" width="8.7109375" style="70" customWidth="1"/>
    <col min="9592" max="9726" width="9.140625" style="70"/>
    <col min="9727" max="9727" width="2.42578125" style="70" customWidth="1"/>
    <col min="9728" max="9728" width="20.5703125" style="70" customWidth="1"/>
    <col min="9729" max="9729" width="11" style="70" customWidth="1"/>
    <col min="9730" max="9731" width="9.140625" style="70" customWidth="1"/>
    <col min="9732" max="9732" width="9.7109375" style="70" customWidth="1"/>
    <col min="9733" max="9733" width="10.140625" style="70" customWidth="1"/>
    <col min="9734" max="9734" width="9.85546875" style="70" customWidth="1"/>
    <col min="9735" max="9735" width="9.28515625" style="70" customWidth="1"/>
    <col min="9736" max="9736" width="11.5703125" style="70" customWidth="1"/>
    <col min="9737" max="9740" width="8.7109375" style="70" customWidth="1"/>
    <col min="9741" max="9741" width="9.85546875" style="70" customWidth="1"/>
    <col min="9742" max="9742" width="8.7109375" style="70" customWidth="1"/>
    <col min="9743" max="9743" width="10" style="70" customWidth="1"/>
    <col min="9744" max="9744" width="8.7109375" style="70" customWidth="1"/>
    <col min="9745" max="9745" width="9.7109375" style="70" customWidth="1"/>
    <col min="9746" max="9746" width="2.28515625" style="70" customWidth="1"/>
    <col min="9747" max="9847" width="8.7109375" style="70" customWidth="1"/>
    <col min="9848" max="9982" width="9.140625" style="70"/>
    <col min="9983" max="9983" width="2.42578125" style="70" customWidth="1"/>
    <col min="9984" max="9984" width="20.5703125" style="70" customWidth="1"/>
    <col min="9985" max="9985" width="11" style="70" customWidth="1"/>
    <col min="9986" max="9987" width="9.140625" style="70" customWidth="1"/>
    <col min="9988" max="9988" width="9.7109375" style="70" customWidth="1"/>
    <col min="9989" max="9989" width="10.140625" style="70" customWidth="1"/>
    <col min="9990" max="9990" width="9.85546875" style="70" customWidth="1"/>
    <col min="9991" max="9991" width="9.28515625" style="70" customWidth="1"/>
    <col min="9992" max="9992" width="11.5703125" style="70" customWidth="1"/>
    <col min="9993" max="9996" width="8.7109375" style="70" customWidth="1"/>
    <col min="9997" max="9997" width="9.85546875" style="70" customWidth="1"/>
    <col min="9998" max="9998" width="8.7109375" style="70" customWidth="1"/>
    <col min="9999" max="9999" width="10" style="70" customWidth="1"/>
    <col min="10000" max="10000" width="8.7109375" style="70" customWidth="1"/>
    <col min="10001" max="10001" width="9.7109375" style="70" customWidth="1"/>
    <col min="10002" max="10002" width="2.28515625" style="70" customWidth="1"/>
    <col min="10003" max="10103" width="8.7109375" style="70" customWidth="1"/>
    <col min="10104" max="10238" width="9.140625" style="70"/>
    <col min="10239" max="10239" width="2.42578125" style="70" customWidth="1"/>
    <col min="10240" max="10240" width="20.5703125" style="70" customWidth="1"/>
    <col min="10241" max="10241" width="11" style="70" customWidth="1"/>
    <col min="10242" max="10243" width="9.140625" style="70" customWidth="1"/>
    <col min="10244" max="10244" width="9.7109375" style="70" customWidth="1"/>
    <col min="10245" max="10245" width="10.140625" style="70" customWidth="1"/>
    <col min="10246" max="10246" width="9.85546875" style="70" customWidth="1"/>
    <col min="10247" max="10247" width="9.28515625" style="70" customWidth="1"/>
    <col min="10248" max="10248" width="11.5703125" style="70" customWidth="1"/>
    <col min="10249" max="10252" width="8.7109375" style="70" customWidth="1"/>
    <col min="10253" max="10253" width="9.85546875" style="70" customWidth="1"/>
    <col min="10254" max="10254" width="8.7109375" style="70" customWidth="1"/>
    <col min="10255" max="10255" width="10" style="70" customWidth="1"/>
    <col min="10256" max="10256" width="8.7109375" style="70" customWidth="1"/>
    <col min="10257" max="10257" width="9.7109375" style="70" customWidth="1"/>
    <col min="10258" max="10258" width="2.28515625" style="70" customWidth="1"/>
    <col min="10259" max="10359" width="8.7109375" style="70" customWidth="1"/>
    <col min="10360" max="10494" width="9.140625" style="70"/>
    <col min="10495" max="10495" width="2.42578125" style="70" customWidth="1"/>
    <col min="10496" max="10496" width="20.5703125" style="70" customWidth="1"/>
    <col min="10497" max="10497" width="11" style="70" customWidth="1"/>
    <col min="10498" max="10499" width="9.140625" style="70" customWidth="1"/>
    <col min="10500" max="10500" width="9.7109375" style="70" customWidth="1"/>
    <col min="10501" max="10501" width="10.140625" style="70" customWidth="1"/>
    <col min="10502" max="10502" width="9.85546875" style="70" customWidth="1"/>
    <col min="10503" max="10503" width="9.28515625" style="70" customWidth="1"/>
    <col min="10504" max="10504" width="11.5703125" style="70" customWidth="1"/>
    <col min="10505" max="10508" width="8.7109375" style="70" customWidth="1"/>
    <col min="10509" max="10509" width="9.85546875" style="70" customWidth="1"/>
    <col min="10510" max="10510" width="8.7109375" style="70" customWidth="1"/>
    <col min="10511" max="10511" width="10" style="70" customWidth="1"/>
    <col min="10512" max="10512" width="8.7109375" style="70" customWidth="1"/>
    <col min="10513" max="10513" width="9.7109375" style="70" customWidth="1"/>
    <col min="10514" max="10514" width="2.28515625" style="70" customWidth="1"/>
    <col min="10515" max="10615" width="8.7109375" style="70" customWidth="1"/>
    <col min="10616" max="10750" width="9.140625" style="70"/>
    <col min="10751" max="10751" width="2.42578125" style="70" customWidth="1"/>
    <col min="10752" max="10752" width="20.5703125" style="70" customWidth="1"/>
    <col min="10753" max="10753" width="11" style="70" customWidth="1"/>
    <col min="10754" max="10755" width="9.140625" style="70" customWidth="1"/>
    <col min="10756" max="10756" width="9.7109375" style="70" customWidth="1"/>
    <col min="10757" max="10757" width="10.140625" style="70" customWidth="1"/>
    <col min="10758" max="10758" width="9.85546875" style="70" customWidth="1"/>
    <col min="10759" max="10759" width="9.28515625" style="70" customWidth="1"/>
    <col min="10760" max="10760" width="11.5703125" style="70" customWidth="1"/>
    <col min="10761" max="10764" width="8.7109375" style="70" customWidth="1"/>
    <col min="10765" max="10765" width="9.85546875" style="70" customWidth="1"/>
    <col min="10766" max="10766" width="8.7109375" style="70" customWidth="1"/>
    <col min="10767" max="10767" width="10" style="70" customWidth="1"/>
    <col min="10768" max="10768" width="8.7109375" style="70" customWidth="1"/>
    <col min="10769" max="10769" width="9.7109375" style="70" customWidth="1"/>
    <col min="10770" max="10770" width="2.28515625" style="70" customWidth="1"/>
    <col min="10771" max="10871" width="8.7109375" style="70" customWidth="1"/>
    <col min="10872" max="11006" width="9.140625" style="70"/>
    <col min="11007" max="11007" width="2.42578125" style="70" customWidth="1"/>
    <col min="11008" max="11008" width="20.5703125" style="70" customWidth="1"/>
    <col min="11009" max="11009" width="11" style="70" customWidth="1"/>
    <col min="11010" max="11011" width="9.140625" style="70" customWidth="1"/>
    <col min="11012" max="11012" width="9.7109375" style="70" customWidth="1"/>
    <col min="11013" max="11013" width="10.140625" style="70" customWidth="1"/>
    <col min="11014" max="11014" width="9.85546875" style="70" customWidth="1"/>
    <col min="11015" max="11015" width="9.28515625" style="70" customWidth="1"/>
    <col min="11016" max="11016" width="11.5703125" style="70" customWidth="1"/>
    <col min="11017" max="11020" width="8.7109375" style="70" customWidth="1"/>
    <col min="11021" max="11021" width="9.85546875" style="70" customWidth="1"/>
    <col min="11022" max="11022" width="8.7109375" style="70" customWidth="1"/>
    <col min="11023" max="11023" width="10" style="70" customWidth="1"/>
    <col min="11024" max="11024" width="8.7109375" style="70" customWidth="1"/>
    <col min="11025" max="11025" width="9.7109375" style="70" customWidth="1"/>
    <col min="11026" max="11026" width="2.28515625" style="70" customWidth="1"/>
    <col min="11027" max="11127" width="8.7109375" style="70" customWidth="1"/>
    <col min="11128" max="11262" width="9.140625" style="70"/>
    <col min="11263" max="11263" width="2.42578125" style="70" customWidth="1"/>
    <col min="11264" max="11264" width="20.5703125" style="70" customWidth="1"/>
    <col min="11265" max="11265" width="11" style="70" customWidth="1"/>
    <col min="11266" max="11267" width="9.140625" style="70" customWidth="1"/>
    <col min="11268" max="11268" width="9.7109375" style="70" customWidth="1"/>
    <col min="11269" max="11269" width="10.140625" style="70" customWidth="1"/>
    <col min="11270" max="11270" width="9.85546875" style="70" customWidth="1"/>
    <col min="11271" max="11271" width="9.28515625" style="70" customWidth="1"/>
    <col min="11272" max="11272" width="11.5703125" style="70" customWidth="1"/>
    <col min="11273" max="11276" width="8.7109375" style="70" customWidth="1"/>
    <col min="11277" max="11277" width="9.85546875" style="70" customWidth="1"/>
    <col min="11278" max="11278" width="8.7109375" style="70" customWidth="1"/>
    <col min="11279" max="11279" width="10" style="70" customWidth="1"/>
    <col min="11280" max="11280" width="8.7109375" style="70" customWidth="1"/>
    <col min="11281" max="11281" width="9.7109375" style="70" customWidth="1"/>
    <col min="11282" max="11282" width="2.28515625" style="70" customWidth="1"/>
    <col min="11283" max="11383" width="8.7109375" style="70" customWidth="1"/>
    <col min="11384" max="11518" width="9.140625" style="70"/>
    <col min="11519" max="11519" width="2.42578125" style="70" customWidth="1"/>
    <col min="11520" max="11520" width="20.5703125" style="70" customWidth="1"/>
    <col min="11521" max="11521" width="11" style="70" customWidth="1"/>
    <col min="11522" max="11523" width="9.140625" style="70" customWidth="1"/>
    <col min="11524" max="11524" width="9.7109375" style="70" customWidth="1"/>
    <col min="11525" max="11525" width="10.140625" style="70" customWidth="1"/>
    <col min="11526" max="11526" width="9.85546875" style="70" customWidth="1"/>
    <col min="11527" max="11527" width="9.28515625" style="70" customWidth="1"/>
    <col min="11528" max="11528" width="11.5703125" style="70" customWidth="1"/>
    <col min="11529" max="11532" width="8.7109375" style="70" customWidth="1"/>
    <col min="11533" max="11533" width="9.85546875" style="70" customWidth="1"/>
    <col min="11534" max="11534" width="8.7109375" style="70" customWidth="1"/>
    <col min="11535" max="11535" width="10" style="70" customWidth="1"/>
    <col min="11536" max="11536" width="8.7109375" style="70" customWidth="1"/>
    <col min="11537" max="11537" width="9.7109375" style="70" customWidth="1"/>
    <col min="11538" max="11538" width="2.28515625" style="70" customWidth="1"/>
    <col min="11539" max="11639" width="8.7109375" style="70" customWidth="1"/>
    <col min="11640" max="11774" width="9.140625" style="70"/>
    <col min="11775" max="11775" width="2.42578125" style="70" customWidth="1"/>
    <col min="11776" max="11776" width="20.5703125" style="70" customWidth="1"/>
    <col min="11777" max="11777" width="11" style="70" customWidth="1"/>
    <col min="11778" max="11779" width="9.140625" style="70" customWidth="1"/>
    <col min="11780" max="11780" width="9.7109375" style="70" customWidth="1"/>
    <col min="11781" max="11781" width="10.140625" style="70" customWidth="1"/>
    <col min="11782" max="11782" width="9.85546875" style="70" customWidth="1"/>
    <col min="11783" max="11783" width="9.28515625" style="70" customWidth="1"/>
    <col min="11784" max="11784" width="11.5703125" style="70" customWidth="1"/>
    <col min="11785" max="11788" width="8.7109375" style="70" customWidth="1"/>
    <col min="11789" max="11789" width="9.85546875" style="70" customWidth="1"/>
    <col min="11790" max="11790" width="8.7109375" style="70" customWidth="1"/>
    <col min="11791" max="11791" width="10" style="70" customWidth="1"/>
    <col min="11792" max="11792" width="8.7109375" style="70" customWidth="1"/>
    <col min="11793" max="11793" width="9.7109375" style="70" customWidth="1"/>
    <col min="11794" max="11794" width="2.28515625" style="70" customWidth="1"/>
    <col min="11795" max="11895" width="8.7109375" style="70" customWidth="1"/>
    <col min="11896" max="12030" width="9.140625" style="70"/>
    <col min="12031" max="12031" width="2.42578125" style="70" customWidth="1"/>
    <col min="12032" max="12032" width="20.5703125" style="70" customWidth="1"/>
    <col min="12033" max="12033" width="11" style="70" customWidth="1"/>
    <col min="12034" max="12035" width="9.140625" style="70" customWidth="1"/>
    <col min="12036" max="12036" width="9.7109375" style="70" customWidth="1"/>
    <col min="12037" max="12037" width="10.140625" style="70" customWidth="1"/>
    <col min="12038" max="12038" width="9.85546875" style="70" customWidth="1"/>
    <col min="12039" max="12039" width="9.28515625" style="70" customWidth="1"/>
    <col min="12040" max="12040" width="11.5703125" style="70" customWidth="1"/>
    <col min="12041" max="12044" width="8.7109375" style="70" customWidth="1"/>
    <col min="12045" max="12045" width="9.85546875" style="70" customWidth="1"/>
    <col min="12046" max="12046" width="8.7109375" style="70" customWidth="1"/>
    <col min="12047" max="12047" width="10" style="70" customWidth="1"/>
    <col min="12048" max="12048" width="8.7109375" style="70" customWidth="1"/>
    <col min="12049" max="12049" width="9.7109375" style="70" customWidth="1"/>
    <col min="12050" max="12050" width="2.28515625" style="70" customWidth="1"/>
    <col min="12051" max="12151" width="8.7109375" style="70" customWidth="1"/>
    <col min="12152" max="12286" width="9.140625" style="70"/>
    <col min="12287" max="12287" width="2.42578125" style="70" customWidth="1"/>
    <col min="12288" max="12288" width="20.5703125" style="70" customWidth="1"/>
    <col min="12289" max="12289" width="11" style="70" customWidth="1"/>
    <col min="12290" max="12291" width="9.140625" style="70" customWidth="1"/>
    <col min="12292" max="12292" width="9.7109375" style="70" customWidth="1"/>
    <col min="12293" max="12293" width="10.140625" style="70" customWidth="1"/>
    <col min="12294" max="12294" width="9.85546875" style="70" customWidth="1"/>
    <col min="12295" max="12295" width="9.28515625" style="70" customWidth="1"/>
    <col min="12296" max="12296" width="11.5703125" style="70" customWidth="1"/>
    <col min="12297" max="12300" width="8.7109375" style="70" customWidth="1"/>
    <col min="12301" max="12301" width="9.85546875" style="70" customWidth="1"/>
    <col min="12302" max="12302" width="8.7109375" style="70" customWidth="1"/>
    <col min="12303" max="12303" width="10" style="70" customWidth="1"/>
    <col min="12304" max="12304" width="8.7109375" style="70" customWidth="1"/>
    <col min="12305" max="12305" width="9.7109375" style="70" customWidth="1"/>
    <col min="12306" max="12306" width="2.28515625" style="70" customWidth="1"/>
    <col min="12307" max="12407" width="8.7109375" style="70" customWidth="1"/>
    <col min="12408" max="12542" width="9.140625" style="70"/>
    <col min="12543" max="12543" width="2.42578125" style="70" customWidth="1"/>
    <col min="12544" max="12544" width="20.5703125" style="70" customWidth="1"/>
    <col min="12545" max="12545" width="11" style="70" customWidth="1"/>
    <col min="12546" max="12547" width="9.140625" style="70" customWidth="1"/>
    <col min="12548" max="12548" width="9.7109375" style="70" customWidth="1"/>
    <col min="12549" max="12549" width="10.140625" style="70" customWidth="1"/>
    <col min="12550" max="12550" width="9.85546875" style="70" customWidth="1"/>
    <col min="12551" max="12551" width="9.28515625" style="70" customWidth="1"/>
    <col min="12552" max="12552" width="11.5703125" style="70" customWidth="1"/>
    <col min="12553" max="12556" width="8.7109375" style="70" customWidth="1"/>
    <col min="12557" max="12557" width="9.85546875" style="70" customWidth="1"/>
    <col min="12558" max="12558" width="8.7109375" style="70" customWidth="1"/>
    <col min="12559" max="12559" width="10" style="70" customWidth="1"/>
    <col min="12560" max="12560" width="8.7109375" style="70" customWidth="1"/>
    <col min="12561" max="12561" width="9.7109375" style="70" customWidth="1"/>
    <col min="12562" max="12562" width="2.28515625" style="70" customWidth="1"/>
    <col min="12563" max="12663" width="8.7109375" style="70" customWidth="1"/>
    <col min="12664" max="12798" width="9.140625" style="70"/>
    <col min="12799" max="12799" width="2.42578125" style="70" customWidth="1"/>
    <col min="12800" max="12800" width="20.5703125" style="70" customWidth="1"/>
    <col min="12801" max="12801" width="11" style="70" customWidth="1"/>
    <col min="12802" max="12803" width="9.140625" style="70" customWidth="1"/>
    <col min="12804" max="12804" width="9.7109375" style="70" customWidth="1"/>
    <col min="12805" max="12805" width="10.140625" style="70" customWidth="1"/>
    <col min="12806" max="12806" width="9.85546875" style="70" customWidth="1"/>
    <col min="12807" max="12807" width="9.28515625" style="70" customWidth="1"/>
    <col min="12808" max="12808" width="11.5703125" style="70" customWidth="1"/>
    <col min="12809" max="12812" width="8.7109375" style="70" customWidth="1"/>
    <col min="12813" max="12813" width="9.85546875" style="70" customWidth="1"/>
    <col min="12814" max="12814" width="8.7109375" style="70" customWidth="1"/>
    <col min="12815" max="12815" width="10" style="70" customWidth="1"/>
    <col min="12816" max="12816" width="8.7109375" style="70" customWidth="1"/>
    <col min="12817" max="12817" width="9.7109375" style="70" customWidth="1"/>
    <col min="12818" max="12818" width="2.28515625" style="70" customWidth="1"/>
    <col min="12819" max="12919" width="8.7109375" style="70" customWidth="1"/>
    <col min="12920" max="13054" width="9.140625" style="70"/>
    <col min="13055" max="13055" width="2.42578125" style="70" customWidth="1"/>
    <col min="13056" max="13056" width="20.5703125" style="70" customWidth="1"/>
    <col min="13057" max="13057" width="11" style="70" customWidth="1"/>
    <col min="13058" max="13059" width="9.140625" style="70" customWidth="1"/>
    <col min="13060" max="13060" width="9.7109375" style="70" customWidth="1"/>
    <col min="13061" max="13061" width="10.140625" style="70" customWidth="1"/>
    <col min="13062" max="13062" width="9.85546875" style="70" customWidth="1"/>
    <col min="13063" max="13063" width="9.28515625" style="70" customWidth="1"/>
    <col min="13064" max="13064" width="11.5703125" style="70" customWidth="1"/>
    <col min="13065" max="13068" width="8.7109375" style="70" customWidth="1"/>
    <col min="13069" max="13069" width="9.85546875" style="70" customWidth="1"/>
    <col min="13070" max="13070" width="8.7109375" style="70" customWidth="1"/>
    <col min="13071" max="13071" width="10" style="70" customWidth="1"/>
    <col min="13072" max="13072" width="8.7109375" style="70" customWidth="1"/>
    <col min="13073" max="13073" width="9.7109375" style="70" customWidth="1"/>
    <col min="13074" max="13074" width="2.28515625" style="70" customWidth="1"/>
    <col min="13075" max="13175" width="8.7109375" style="70" customWidth="1"/>
    <col min="13176" max="13310" width="9.140625" style="70"/>
    <col min="13311" max="13311" width="2.42578125" style="70" customWidth="1"/>
    <col min="13312" max="13312" width="20.5703125" style="70" customWidth="1"/>
    <col min="13313" max="13313" width="11" style="70" customWidth="1"/>
    <col min="13314" max="13315" width="9.140625" style="70" customWidth="1"/>
    <col min="13316" max="13316" width="9.7109375" style="70" customWidth="1"/>
    <col min="13317" max="13317" width="10.140625" style="70" customWidth="1"/>
    <col min="13318" max="13318" width="9.85546875" style="70" customWidth="1"/>
    <col min="13319" max="13319" width="9.28515625" style="70" customWidth="1"/>
    <col min="13320" max="13320" width="11.5703125" style="70" customWidth="1"/>
    <col min="13321" max="13324" width="8.7109375" style="70" customWidth="1"/>
    <col min="13325" max="13325" width="9.85546875" style="70" customWidth="1"/>
    <col min="13326" max="13326" width="8.7109375" style="70" customWidth="1"/>
    <col min="13327" max="13327" width="10" style="70" customWidth="1"/>
    <col min="13328" max="13328" width="8.7109375" style="70" customWidth="1"/>
    <col min="13329" max="13329" width="9.7109375" style="70" customWidth="1"/>
    <col min="13330" max="13330" width="2.28515625" style="70" customWidth="1"/>
    <col min="13331" max="13431" width="8.7109375" style="70" customWidth="1"/>
    <col min="13432" max="13566" width="9.140625" style="70"/>
    <col min="13567" max="13567" width="2.42578125" style="70" customWidth="1"/>
    <col min="13568" max="13568" width="20.5703125" style="70" customWidth="1"/>
    <col min="13569" max="13569" width="11" style="70" customWidth="1"/>
    <col min="13570" max="13571" width="9.140625" style="70" customWidth="1"/>
    <col min="13572" max="13572" width="9.7109375" style="70" customWidth="1"/>
    <col min="13573" max="13573" width="10.140625" style="70" customWidth="1"/>
    <col min="13574" max="13574" width="9.85546875" style="70" customWidth="1"/>
    <col min="13575" max="13575" width="9.28515625" style="70" customWidth="1"/>
    <col min="13576" max="13576" width="11.5703125" style="70" customWidth="1"/>
    <col min="13577" max="13580" width="8.7109375" style="70" customWidth="1"/>
    <col min="13581" max="13581" width="9.85546875" style="70" customWidth="1"/>
    <col min="13582" max="13582" width="8.7109375" style="70" customWidth="1"/>
    <col min="13583" max="13583" width="10" style="70" customWidth="1"/>
    <col min="13584" max="13584" width="8.7109375" style="70" customWidth="1"/>
    <col min="13585" max="13585" width="9.7109375" style="70" customWidth="1"/>
    <col min="13586" max="13586" width="2.28515625" style="70" customWidth="1"/>
    <col min="13587" max="13687" width="8.7109375" style="70" customWidth="1"/>
    <col min="13688" max="13822" width="9.140625" style="70"/>
    <col min="13823" max="13823" width="2.42578125" style="70" customWidth="1"/>
    <col min="13824" max="13824" width="20.5703125" style="70" customWidth="1"/>
    <col min="13825" max="13825" width="11" style="70" customWidth="1"/>
    <col min="13826" max="13827" width="9.140625" style="70" customWidth="1"/>
    <col min="13828" max="13828" width="9.7109375" style="70" customWidth="1"/>
    <col min="13829" max="13829" width="10.140625" style="70" customWidth="1"/>
    <col min="13830" max="13830" width="9.85546875" style="70" customWidth="1"/>
    <col min="13831" max="13831" width="9.28515625" style="70" customWidth="1"/>
    <col min="13832" max="13832" width="11.5703125" style="70" customWidth="1"/>
    <col min="13833" max="13836" width="8.7109375" style="70" customWidth="1"/>
    <col min="13837" max="13837" width="9.85546875" style="70" customWidth="1"/>
    <col min="13838" max="13838" width="8.7109375" style="70" customWidth="1"/>
    <col min="13839" max="13839" width="10" style="70" customWidth="1"/>
    <col min="13840" max="13840" width="8.7109375" style="70" customWidth="1"/>
    <col min="13841" max="13841" width="9.7109375" style="70" customWidth="1"/>
    <col min="13842" max="13842" width="2.28515625" style="70" customWidth="1"/>
    <col min="13843" max="13943" width="8.7109375" style="70" customWidth="1"/>
    <col min="13944" max="14078" width="9.140625" style="70"/>
    <col min="14079" max="14079" width="2.42578125" style="70" customWidth="1"/>
    <col min="14080" max="14080" width="20.5703125" style="70" customWidth="1"/>
    <col min="14081" max="14081" width="11" style="70" customWidth="1"/>
    <col min="14082" max="14083" width="9.140625" style="70" customWidth="1"/>
    <col min="14084" max="14084" width="9.7109375" style="70" customWidth="1"/>
    <col min="14085" max="14085" width="10.140625" style="70" customWidth="1"/>
    <col min="14086" max="14086" width="9.85546875" style="70" customWidth="1"/>
    <col min="14087" max="14087" width="9.28515625" style="70" customWidth="1"/>
    <col min="14088" max="14088" width="11.5703125" style="70" customWidth="1"/>
    <col min="14089" max="14092" width="8.7109375" style="70" customWidth="1"/>
    <col min="14093" max="14093" width="9.85546875" style="70" customWidth="1"/>
    <col min="14094" max="14094" width="8.7109375" style="70" customWidth="1"/>
    <col min="14095" max="14095" width="10" style="70" customWidth="1"/>
    <col min="14096" max="14096" width="8.7109375" style="70" customWidth="1"/>
    <col min="14097" max="14097" width="9.7109375" style="70" customWidth="1"/>
    <col min="14098" max="14098" width="2.28515625" style="70" customWidth="1"/>
    <col min="14099" max="14199" width="8.7109375" style="70" customWidth="1"/>
    <col min="14200" max="14334" width="9.140625" style="70"/>
    <col min="14335" max="14335" width="2.42578125" style="70" customWidth="1"/>
    <col min="14336" max="14336" width="20.5703125" style="70" customWidth="1"/>
    <col min="14337" max="14337" width="11" style="70" customWidth="1"/>
    <col min="14338" max="14339" width="9.140625" style="70" customWidth="1"/>
    <col min="14340" max="14340" width="9.7109375" style="70" customWidth="1"/>
    <col min="14341" max="14341" width="10.140625" style="70" customWidth="1"/>
    <col min="14342" max="14342" width="9.85546875" style="70" customWidth="1"/>
    <col min="14343" max="14343" width="9.28515625" style="70" customWidth="1"/>
    <col min="14344" max="14344" width="11.5703125" style="70" customWidth="1"/>
    <col min="14345" max="14348" width="8.7109375" style="70" customWidth="1"/>
    <col min="14349" max="14349" width="9.85546875" style="70" customWidth="1"/>
    <col min="14350" max="14350" width="8.7109375" style="70" customWidth="1"/>
    <col min="14351" max="14351" width="10" style="70" customWidth="1"/>
    <col min="14352" max="14352" width="8.7109375" style="70" customWidth="1"/>
    <col min="14353" max="14353" width="9.7109375" style="70" customWidth="1"/>
    <col min="14354" max="14354" width="2.28515625" style="70" customWidth="1"/>
    <col min="14355" max="14455" width="8.7109375" style="70" customWidth="1"/>
    <col min="14456" max="14590" width="9.140625" style="70"/>
    <col min="14591" max="14591" width="2.42578125" style="70" customWidth="1"/>
    <col min="14592" max="14592" width="20.5703125" style="70" customWidth="1"/>
    <col min="14593" max="14593" width="11" style="70" customWidth="1"/>
    <col min="14594" max="14595" width="9.140625" style="70" customWidth="1"/>
    <col min="14596" max="14596" width="9.7109375" style="70" customWidth="1"/>
    <col min="14597" max="14597" width="10.140625" style="70" customWidth="1"/>
    <col min="14598" max="14598" width="9.85546875" style="70" customWidth="1"/>
    <col min="14599" max="14599" width="9.28515625" style="70" customWidth="1"/>
    <col min="14600" max="14600" width="11.5703125" style="70" customWidth="1"/>
    <col min="14601" max="14604" width="8.7109375" style="70" customWidth="1"/>
    <col min="14605" max="14605" width="9.85546875" style="70" customWidth="1"/>
    <col min="14606" max="14606" width="8.7109375" style="70" customWidth="1"/>
    <col min="14607" max="14607" width="10" style="70" customWidth="1"/>
    <col min="14608" max="14608" width="8.7109375" style="70" customWidth="1"/>
    <col min="14609" max="14609" width="9.7109375" style="70" customWidth="1"/>
    <col min="14610" max="14610" width="2.28515625" style="70" customWidth="1"/>
    <col min="14611" max="14711" width="8.7109375" style="70" customWidth="1"/>
    <col min="14712" max="14846" width="9.140625" style="70"/>
    <col min="14847" max="14847" width="2.42578125" style="70" customWidth="1"/>
    <col min="14848" max="14848" width="20.5703125" style="70" customWidth="1"/>
    <col min="14849" max="14849" width="11" style="70" customWidth="1"/>
    <col min="14850" max="14851" width="9.140625" style="70" customWidth="1"/>
    <col min="14852" max="14852" width="9.7109375" style="70" customWidth="1"/>
    <col min="14853" max="14853" width="10.140625" style="70" customWidth="1"/>
    <col min="14854" max="14854" width="9.85546875" style="70" customWidth="1"/>
    <col min="14855" max="14855" width="9.28515625" style="70" customWidth="1"/>
    <col min="14856" max="14856" width="11.5703125" style="70" customWidth="1"/>
    <col min="14857" max="14860" width="8.7109375" style="70" customWidth="1"/>
    <col min="14861" max="14861" width="9.85546875" style="70" customWidth="1"/>
    <col min="14862" max="14862" width="8.7109375" style="70" customWidth="1"/>
    <col min="14863" max="14863" width="10" style="70" customWidth="1"/>
    <col min="14864" max="14864" width="8.7109375" style="70" customWidth="1"/>
    <col min="14865" max="14865" width="9.7109375" style="70" customWidth="1"/>
    <col min="14866" max="14866" width="2.28515625" style="70" customWidth="1"/>
    <col min="14867" max="14967" width="8.7109375" style="70" customWidth="1"/>
    <col min="14968" max="15102" width="9.140625" style="70"/>
    <col min="15103" max="15103" width="2.42578125" style="70" customWidth="1"/>
    <col min="15104" max="15104" width="20.5703125" style="70" customWidth="1"/>
    <col min="15105" max="15105" width="11" style="70" customWidth="1"/>
    <col min="15106" max="15107" width="9.140625" style="70" customWidth="1"/>
    <col min="15108" max="15108" width="9.7109375" style="70" customWidth="1"/>
    <col min="15109" max="15109" width="10.140625" style="70" customWidth="1"/>
    <col min="15110" max="15110" width="9.85546875" style="70" customWidth="1"/>
    <col min="15111" max="15111" width="9.28515625" style="70" customWidth="1"/>
    <col min="15112" max="15112" width="11.5703125" style="70" customWidth="1"/>
    <col min="15113" max="15116" width="8.7109375" style="70" customWidth="1"/>
    <col min="15117" max="15117" width="9.85546875" style="70" customWidth="1"/>
    <col min="15118" max="15118" width="8.7109375" style="70" customWidth="1"/>
    <col min="15119" max="15119" width="10" style="70" customWidth="1"/>
    <col min="15120" max="15120" width="8.7109375" style="70" customWidth="1"/>
    <col min="15121" max="15121" width="9.7109375" style="70" customWidth="1"/>
    <col min="15122" max="15122" width="2.28515625" style="70" customWidth="1"/>
    <col min="15123" max="15223" width="8.7109375" style="70" customWidth="1"/>
    <col min="15224" max="15358" width="9.140625" style="70"/>
    <col min="15359" max="15359" width="2.42578125" style="70" customWidth="1"/>
    <col min="15360" max="15360" width="20.5703125" style="70" customWidth="1"/>
    <col min="15361" max="15361" width="11" style="70" customWidth="1"/>
    <col min="15362" max="15363" width="9.140625" style="70" customWidth="1"/>
    <col min="15364" max="15364" width="9.7109375" style="70" customWidth="1"/>
    <col min="15365" max="15365" width="10.140625" style="70" customWidth="1"/>
    <col min="15366" max="15366" width="9.85546875" style="70" customWidth="1"/>
    <col min="15367" max="15367" width="9.28515625" style="70" customWidth="1"/>
    <col min="15368" max="15368" width="11.5703125" style="70" customWidth="1"/>
    <col min="15369" max="15372" width="8.7109375" style="70" customWidth="1"/>
    <col min="15373" max="15373" width="9.85546875" style="70" customWidth="1"/>
    <col min="15374" max="15374" width="8.7109375" style="70" customWidth="1"/>
    <col min="15375" max="15375" width="10" style="70" customWidth="1"/>
    <col min="15376" max="15376" width="8.7109375" style="70" customWidth="1"/>
    <col min="15377" max="15377" width="9.7109375" style="70" customWidth="1"/>
    <col min="15378" max="15378" width="2.28515625" style="70" customWidth="1"/>
    <col min="15379" max="15479" width="8.7109375" style="70" customWidth="1"/>
    <col min="15480" max="15614" width="9.140625" style="70"/>
    <col min="15615" max="15615" width="2.42578125" style="70" customWidth="1"/>
    <col min="15616" max="15616" width="20.5703125" style="70" customWidth="1"/>
    <col min="15617" max="15617" width="11" style="70" customWidth="1"/>
    <col min="15618" max="15619" width="9.140625" style="70" customWidth="1"/>
    <col min="15620" max="15620" width="9.7109375" style="70" customWidth="1"/>
    <col min="15621" max="15621" width="10.140625" style="70" customWidth="1"/>
    <col min="15622" max="15622" width="9.85546875" style="70" customWidth="1"/>
    <col min="15623" max="15623" width="9.28515625" style="70" customWidth="1"/>
    <col min="15624" max="15624" width="11.5703125" style="70" customWidth="1"/>
    <col min="15625" max="15628" width="8.7109375" style="70" customWidth="1"/>
    <col min="15629" max="15629" width="9.85546875" style="70" customWidth="1"/>
    <col min="15630" max="15630" width="8.7109375" style="70" customWidth="1"/>
    <col min="15631" max="15631" width="10" style="70" customWidth="1"/>
    <col min="15632" max="15632" width="8.7109375" style="70" customWidth="1"/>
    <col min="15633" max="15633" width="9.7109375" style="70" customWidth="1"/>
    <col min="15634" max="15634" width="2.28515625" style="70" customWidth="1"/>
    <col min="15635" max="15735" width="8.7109375" style="70" customWidth="1"/>
    <col min="15736" max="15870" width="9.140625" style="70"/>
    <col min="15871" max="15871" width="2.42578125" style="70" customWidth="1"/>
    <col min="15872" max="15872" width="20.5703125" style="70" customWidth="1"/>
    <col min="15873" max="15873" width="11" style="70" customWidth="1"/>
    <col min="15874" max="15875" width="9.140625" style="70" customWidth="1"/>
    <col min="15876" max="15876" width="9.7109375" style="70" customWidth="1"/>
    <col min="15877" max="15877" width="10.140625" style="70" customWidth="1"/>
    <col min="15878" max="15878" width="9.85546875" style="70" customWidth="1"/>
    <col min="15879" max="15879" width="9.28515625" style="70" customWidth="1"/>
    <col min="15880" max="15880" width="11.5703125" style="70" customWidth="1"/>
    <col min="15881" max="15884" width="8.7109375" style="70" customWidth="1"/>
    <col min="15885" max="15885" width="9.85546875" style="70" customWidth="1"/>
    <col min="15886" max="15886" width="8.7109375" style="70" customWidth="1"/>
    <col min="15887" max="15887" width="10" style="70" customWidth="1"/>
    <col min="15888" max="15888" width="8.7109375" style="70" customWidth="1"/>
    <col min="15889" max="15889" width="9.7109375" style="70" customWidth="1"/>
    <col min="15890" max="15890" width="2.28515625" style="70" customWidth="1"/>
    <col min="15891" max="15991" width="8.7109375" style="70" customWidth="1"/>
    <col min="15992" max="16126" width="9.140625" style="70"/>
    <col min="16127" max="16127" width="2.42578125" style="70" customWidth="1"/>
    <col min="16128" max="16128" width="20.5703125" style="70" customWidth="1"/>
    <col min="16129" max="16129" width="11" style="70" customWidth="1"/>
    <col min="16130" max="16131" width="9.140625" style="70" customWidth="1"/>
    <col min="16132" max="16132" width="9.7109375" style="70" customWidth="1"/>
    <col min="16133" max="16133" width="10.140625" style="70" customWidth="1"/>
    <col min="16134" max="16134" width="9.85546875" style="70" customWidth="1"/>
    <col min="16135" max="16135" width="9.28515625" style="70" customWidth="1"/>
    <col min="16136" max="16136" width="11.5703125" style="70" customWidth="1"/>
    <col min="16137" max="16140" width="8.7109375" style="70" customWidth="1"/>
    <col min="16141" max="16141" width="9.85546875" style="70" customWidth="1"/>
    <col min="16142" max="16142" width="8.7109375" style="70" customWidth="1"/>
    <col min="16143" max="16143" width="10" style="70" customWidth="1"/>
    <col min="16144" max="16144" width="8.7109375" style="70" customWidth="1"/>
    <col min="16145" max="16145" width="9.7109375" style="70" customWidth="1"/>
    <col min="16146" max="16146" width="2.28515625" style="70" customWidth="1"/>
    <col min="16147" max="16247" width="8.7109375" style="70" customWidth="1"/>
    <col min="16248" max="16384" width="9.140625" style="70"/>
  </cols>
  <sheetData>
    <row r="2" spans="1:19" s="122" customFormat="1" ht="15" customHeight="1">
      <c r="A2" s="413" t="s">
        <v>354</v>
      </c>
      <c r="B2" s="413"/>
      <c r="C2" s="413"/>
      <c r="D2" s="413"/>
      <c r="E2" s="413"/>
      <c r="F2" s="413"/>
      <c r="G2" s="413"/>
      <c r="H2" s="413"/>
      <c r="I2" s="413"/>
      <c r="J2" s="413"/>
      <c r="K2" s="413"/>
      <c r="L2" s="413"/>
      <c r="M2" s="413"/>
      <c r="N2" s="413"/>
      <c r="O2" s="413"/>
      <c r="P2" s="413"/>
      <c r="Q2" s="413"/>
      <c r="R2" s="413"/>
    </row>
    <row r="3" spans="1:19" s="64" customFormat="1">
      <c r="A3" s="433" t="s">
        <v>256</v>
      </c>
      <c r="B3" s="434"/>
      <c r="C3" s="434"/>
      <c r="D3" s="434"/>
      <c r="E3" s="434"/>
      <c r="F3" s="434"/>
      <c r="G3" s="434"/>
      <c r="H3" s="434"/>
      <c r="I3" s="434"/>
      <c r="J3" s="434"/>
      <c r="K3" s="434"/>
      <c r="L3" s="434"/>
      <c r="M3" s="434"/>
      <c r="N3" s="434"/>
      <c r="O3" s="434"/>
      <c r="P3" s="434"/>
      <c r="Q3" s="434"/>
      <c r="R3" s="434"/>
    </row>
    <row r="4" spans="1:19" s="115" customFormat="1" ht="16.5" customHeight="1">
      <c r="A4" s="438" t="s">
        <v>278</v>
      </c>
      <c r="B4" s="435" t="s">
        <v>279</v>
      </c>
      <c r="C4" s="441" t="s">
        <v>337</v>
      </c>
      <c r="D4" s="442"/>
      <c r="E4" s="442"/>
      <c r="F4" s="442"/>
      <c r="G4" s="442"/>
      <c r="H4" s="442"/>
      <c r="I4" s="442"/>
      <c r="J4" s="442"/>
      <c r="K4" s="442"/>
      <c r="L4" s="442"/>
      <c r="M4" s="442"/>
      <c r="N4" s="442"/>
      <c r="O4" s="442"/>
      <c r="P4" s="442"/>
      <c r="Q4" s="442"/>
      <c r="R4" s="442"/>
    </row>
    <row r="5" spans="1:19" ht="13.5" customHeight="1">
      <c r="A5" s="439"/>
      <c r="B5" s="439"/>
      <c r="C5" s="443" t="s">
        <v>57</v>
      </c>
      <c r="D5" s="443" t="s">
        <v>27</v>
      </c>
      <c r="E5" s="444" t="s">
        <v>28</v>
      </c>
      <c r="F5" s="444" t="s">
        <v>29</v>
      </c>
      <c r="G5" s="444" t="s">
        <v>30</v>
      </c>
      <c r="H5" s="443" t="s">
        <v>36</v>
      </c>
      <c r="I5" s="443" t="s">
        <v>12</v>
      </c>
      <c r="J5" s="435" t="s">
        <v>13</v>
      </c>
      <c r="K5" s="435" t="s">
        <v>14</v>
      </c>
      <c r="L5" s="435" t="s">
        <v>15</v>
      </c>
      <c r="M5" s="385" t="s">
        <v>16</v>
      </c>
      <c r="N5" s="385" t="s">
        <v>17</v>
      </c>
      <c r="O5" s="435" t="s">
        <v>18</v>
      </c>
      <c r="P5" s="435" t="s">
        <v>19</v>
      </c>
      <c r="Q5" s="445" t="s">
        <v>20</v>
      </c>
      <c r="R5" s="448" t="s">
        <v>31</v>
      </c>
    </row>
    <row r="6" spans="1:19" ht="13.5" customHeight="1">
      <c r="A6" s="439"/>
      <c r="B6" s="436"/>
      <c r="C6" s="436"/>
      <c r="D6" s="436"/>
      <c r="E6" s="437"/>
      <c r="F6" s="437"/>
      <c r="G6" s="437"/>
      <c r="H6" s="436"/>
      <c r="I6" s="436"/>
      <c r="J6" s="436"/>
      <c r="K6" s="436"/>
      <c r="L6" s="436"/>
      <c r="M6" s="437"/>
      <c r="N6" s="437"/>
      <c r="O6" s="436"/>
      <c r="P6" s="436"/>
      <c r="Q6" s="436"/>
      <c r="R6" s="449"/>
    </row>
    <row r="7" spans="1:19" s="71" customFormat="1" ht="28.5" customHeight="1" thickBot="1">
      <c r="A7" s="440"/>
      <c r="B7" s="450" t="s">
        <v>321</v>
      </c>
      <c r="C7" s="451"/>
      <c r="D7" s="451"/>
      <c r="E7" s="451"/>
      <c r="F7" s="451"/>
      <c r="G7" s="451"/>
      <c r="H7" s="451"/>
      <c r="I7" s="451"/>
      <c r="J7" s="451"/>
      <c r="K7" s="451"/>
      <c r="L7" s="451"/>
      <c r="M7" s="451"/>
      <c r="N7" s="451"/>
      <c r="O7" s="451"/>
      <c r="P7" s="451"/>
      <c r="Q7" s="451"/>
      <c r="R7" s="451"/>
    </row>
    <row r="8" spans="1:19" s="12" customFormat="1" ht="21.75" customHeight="1">
      <c r="A8" s="125" t="s">
        <v>10</v>
      </c>
      <c r="B8" s="126">
        <v>86619605.799999997</v>
      </c>
      <c r="C8" s="145">
        <v>8179621.5999999996</v>
      </c>
      <c r="D8" s="126">
        <v>3978192.8</v>
      </c>
      <c r="E8" s="145">
        <v>3161057.7</v>
      </c>
      <c r="F8" s="126">
        <v>1691841.7</v>
      </c>
      <c r="G8" s="145">
        <v>3906001.4</v>
      </c>
      <c r="H8" s="126">
        <v>9151749.1999999993</v>
      </c>
      <c r="I8" s="145">
        <v>16092346</v>
      </c>
      <c r="J8" s="126">
        <v>2220002.7999999998</v>
      </c>
      <c r="K8" s="145">
        <v>3314830.8</v>
      </c>
      <c r="L8" s="126">
        <v>2414254</v>
      </c>
      <c r="M8" s="145">
        <v>6115789.4000000004</v>
      </c>
      <c r="N8" s="126">
        <v>9549187.0999999996</v>
      </c>
      <c r="O8" s="145">
        <v>1708968.6</v>
      </c>
      <c r="P8" s="126">
        <v>2760488.8</v>
      </c>
      <c r="Q8" s="145">
        <v>8419969.5999999996</v>
      </c>
      <c r="R8" s="147">
        <v>3955304.3</v>
      </c>
      <c r="S8" s="87"/>
    </row>
    <row r="9" spans="1:19" s="128" customFormat="1">
      <c r="A9" s="127" t="s">
        <v>11</v>
      </c>
      <c r="B9" s="7"/>
      <c r="C9" s="5"/>
      <c r="D9" s="6"/>
      <c r="E9" s="5"/>
      <c r="F9" s="6"/>
      <c r="G9" s="5"/>
      <c r="H9" s="6"/>
      <c r="I9" s="5"/>
      <c r="J9" s="6"/>
      <c r="K9" s="5"/>
      <c r="L9" s="6"/>
      <c r="M9" s="5"/>
      <c r="N9" s="6"/>
      <c r="O9" s="5"/>
      <c r="P9" s="6"/>
      <c r="Q9" s="5"/>
      <c r="R9" s="7"/>
      <c r="S9" s="79"/>
    </row>
    <row r="10" spans="1:19">
      <c r="A10" s="129" t="s">
        <v>32</v>
      </c>
      <c r="B10" s="130">
        <v>6209427</v>
      </c>
      <c r="C10" s="131">
        <v>4760837.9000000004</v>
      </c>
      <c r="D10" s="130" t="s">
        <v>145</v>
      </c>
      <c r="E10" s="131">
        <v>32427.8</v>
      </c>
      <c r="F10" s="130">
        <v>103864.3</v>
      </c>
      <c r="G10" s="131">
        <v>46209.7</v>
      </c>
      <c r="H10" s="130">
        <v>278291.5</v>
      </c>
      <c r="I10" s="131">
        <v>157188.79999999999</v>
      </c>
      <c r="J10" s="130">
        <v>103346.2</v>
      </c>
      <c r="K10" s="131">
        <v>10265.299999999999</v>
      </c>
      <c r="L10" s="130" t="s">
        <v>145</v>
      </c>
      <c r="M10" s="131" t="s">
        <v>145</v>
      </c>
      <c r="N10" s="130">
        <v>388559.8</v>
      </c>
      <c r="O10" s="131">
        <v>9556.5</v>
      </c>
      <c r="P10" s="130" t="s">
        <v>145</v>
      </c>
      <c r="Q10" s="131">
        <v>76272.800000000003</v>
      </c>
      <c r="R10" s="132">
        <v>53714.2</v>
      </c>
      <c r="S10" s="78"/>
    </row>
    <row r="11" spans="1:19">
      <c r="A11" s="129" t="s">
        <v>27</v>
      </c>
      <c r="B11" s="130">
        <v>3954072.4</v>
      </c>
      <c r="C11" s="131">
        <v>131508.4</v>
      </c>
      <c r="D11" s="130">
        <v>2864088.1</v>
      </c>
      <c r="E11" s="131">
        <v>11075.4</v>
      </c>
      <c r="F11" s="130">
        <v>30713.1</v>
      </c>
      <c r="G11" s="131">
        <v>51371.9</v>
      </c>
      <c r="H11" s="130">
        <v>70881.2</v>
      </c>
      <c r="I11" s="131">
        <v>220204</v>
      </c>
      <c r="J11" s="130">
        <v>5074.5</v>
      </c>
      <c r="K11" s="131">
        <v>3125.7</v>
      </c>
      <c r="L11" s="130">
        <v>11997.6</v>
      </c>
      <c r="M11" s="131">
        <v>105502.1</v>
      </c>
      <c r="N11" s="130">
        <v>49393.3</v>
      </c>
      <c r="O11" s="131">
        <v>6099.8</v>
      </c>
      <c r="P11" s="130">
        <v>68269.100000000006</v>
      </c>
      <c r="Q11" s="131">
        <v>160683</v>
      </c>
      <c r="R11" s="132">
        <v>164085.20000000001</v>
      </c>
      <c r="S11" s="78"/>
    </row>
    <row r="12" spans="1:19">
      <c r="A12" s="129" t="s">
        <v>33</v>
      </c>
      <c r="B12" s="130">
        <v>2932125.8</v>
      </c>
      <c r="C12" s="131">
        <v>44475.5</v>
      </c>
      <c r="D12" s="130">
        <v>16230.4</v>
      </c>
      <c r="E12" s="131" t="s">
        <v>145</v>
      </c>
      <c r="F12" s="38" t="s">
        <v>145</v>
      </c>
      <c r="G12" s="131">
        <v>38562.800000000003</v>
      </c>
      <c r="H12" s="130">
        <v>52371.4</v>
      </c>
      <c r="I12" s="131">
        <v>380673.9</v>
      </c>
      <c r="J12" s="130">
        <v>20701.2</v>
      </c>
      <c r="K12" s="131" t="s">
        <v>145</v>
      </c>
      <c r="L12" s="130">
        <v>20652</v>
      </c>
      <c r="M12" s="131">
        <v>4411.8</v>
      </c>
      <c r="N12" s="130">
        <v>16899.599999999999</v>
      </c>
      <c r="O12" s="131">
        <v>6395.4</v>
      </c>
      <c r="P12" s="130">
        <v>8049.6</v>
      </c>
      <c r="Q12" s="131">
        <v>3259.2</v>
      </c>
      <c r="R12" s="132" t="s">
        <v>145</v>
      </c>
      <c r="S12" s="78"/>
    </row>
    <row r="13" spans="1:19">
      <c r="A13" s="129" t="s">
        <v>34</v>
      </c>
      <c r="B13" s="130">
        <v>1113201.5</v>
      </c>
      <c r="C13" s="131" t="s">
        <v>145</v>
      </c>
      <c r="D13" s="130" t="s">
        <v>145</v>
      </c>
      <c r="E13" s="131">
        <v>8281.2999999999993</v>
      </c>
      <c r="F13" s="130">
        <v>896564.6</v>
      </c>
      <c r="G13" s="131" t="s">
        <v>145</v>
      </c>
      <c r="H13" s="130">
        <v>3362</v>
      </c>
      <c r="I13" s="131">
        <v>15776.7</v>
      </c>
      <c r="J13" s="130" t="s">
        <v>145</v>
      </c>
      <c r="K13" s="131" t="s">
        <v>145</v>
      </c>
      <c r="L13" s="130" t="s">
        <v>145</v>
      </c>
      <c r="M13" s="131">
        <v>8068.4</v>
      </c>
      <c r="N13" s="130">
        <v>11424.8</v>
      </c>
      <c r="O13" s="131" t="s">
        <v>145</v>
      </c>
      <c r="P13" s="130" t="s">
        <v>145</v>
      </c>
      <c r="Q13" s="131">
        <v>35533.4</v>
      </c>
      <c r="R13" s="132">
        <v>39875.1</v>
      </c>
      <c r="S13" s="78"/>
    </row>
    <row r="14" spans="1:19">
      <c r="A14" s="129" t="s">
        <v>35</v>
      </c>
      <c r="B14" s="130">
        <v>3462171.5</v>
      </c>
      <c r="C14" s="131">
        <v>116672.5</v>
      </c>
      <c r="D14" s="130">
        <v>31500.400000000001</v>
      </c>
      <c r="E14" s="131" t="s">
        <v>145</v>
      </c>
      <c r="F14" s="130">
        <v>35676</v>
      </c>
      <c r="G14" s="131">
        <v>2504100.2999999998</v>
      </c>
      <c r="H14" s="130">
        <v>57848</v>
      </c>
      <c r="I14" s="131">
        <v>295095</v>
      </c>
      <c r="J14" s="130">
        <v>30743.8</v>
      </c>
      <c r="K14" s="131">
        <v>12015.5</v>
      </c>
      <c r="L14" s="130" t="s">
        <v>145</v>
      </c>
      <c r="M14" s="131">
        <v>38478.5</v>
      </c>
      <c r="N14" s="130">
        <v>141566</v>
      </c>
      <c r="O14" s="131">
        <v>6425.1</v>
      </c>
      <c r="P14" s="130">
        <v>20368.2</v>
      </c>
      <c r="Q14" s="131">
        <v>85991.4</v>
      </c>
      <c r="R14" s="132">
        <v>35249.199999999997</v>
      </c>
      <c r="S14" s="78"/>
    </row>
    <row r="15" spans="1:19">
      <c r="A15" s="129" t="s">
        <v>36</v>
      </c>
      <c r="B15" s="130">
        <v>9209701</v>
      </c>
      <c r="C15" s="131">
        <v>450387.7</v>
      </c>
      <c r="D15" s="130">
        <v>71706.899999999994</v>
      </c>
      <c r="E15" s="131">
        <v>138686.70000000001</v>
      </c>
      <c r="F15" s="130" t="s">
        <v>145</v>
      </c>
      <c r="G15" s="131">
        <v>248487.4</v>
      </c>
      <c r="H15" s="130">
        <v>6402371.5</v>
      </c>
      <c r="I15" s="131">
        <v>471642</v>
      </c>
      <c r="J15" s="130">
        <v>89724.800000000003</v>
      </c>
      <c r="K15" s="131">
        <v>162830.29999999999</v>
      </c>
      <c r="L15" s="130">
        <v>5488.2</v>
      </c>
      <c r="M15" s="131">
        <v>24636.9</v>
      </c>
      <c r="N15" s="130">
        <v>715881.1</v>
      </c>
      <c r="O15" s="131">
        <v>62152</v>
      </c>
      <c r="P15" s="130">
        <v>16731.2</v>
      </c>
      <c r="Q15" s="131" t="s">
        <v>145</v>
      </c>
      <c r="R15" s="132">
        <v>57778.8</v>
      </c>
      <c r="S15" s="78"/>
    </row>
    <row r="16" spans="1:19">
      <c r="A16" s="129" t="s">
        <v>37</v>
      </c>
      <c r="B16" s="130">
        <v>21741286.800000001</v>
      </c>
      <c r="C16" s="131">
        <v>1036661</v>
      </c>
      <c r="D16" s="130">
        <v>470376.8</v>
      </c>
      <c r="E16" s="131">
        <v>518065.3</v>
      </c>
      <c r="F16" s="130">
        <v>200385.3</v>
      </c>
      <c r="G16" s="131">
        <v>559586.4</v>
      </c>
      <c r="H16" s="130">
        <v>1148323.8999999999</v>
      </c>
      <c r="I16" s="131">
        <v>12068078.300000001</v>
      </c>
      <c r="J16" s="130">
        <v>307502.59999999998</v>
      </c>
      <c r="K16" s="131">
        <v>318174.90000000002</v>
      </c>
      <c r="L16" s="130">
        <v>364571.3</v>
      </c>
      <c r="M16" s="131">
        <v>966451.9</v>
      </c>
      <c r="N16" s="130">
        <v>812080.1</v>
      </c>
      <c r="O16" s="131">
        <v>337692.3</v>
      </c>
      <c r="P16" s="130">
        <v>877311.8</v>
      </c>
      <c r="Q16" s="131">
        <v>1085052.8999999999</v>
      </c>
      <c r="R16" s="132">
        <v>670972</v>
      </c>
      <c r="S16" s="78"/>
    </row>
    <row r="17" spans="1:19">
      <c r="A17" s="129" t="s">
        <v>38</v>
      </c>
      <c r="B17" s="130">
        <v>1693875.5</v>
      </c>
      <c r="C17" s="131">
        <v>233860.1</v>
      </c>
      <c r="D17" s="130">
        <v>4481.7</v>
      </c>
      <c r="E17" s="131">
        <v>1663.5</v>
      </c>
      <c r="F17" s="130">
        <v>3672.7</v>
      </c>
      <c r="G17" s="131" t="s">
        <v>145</v>
      </c>
      <c r="H17" s="130">
        <v>13279.5</v>
      </c>
      <c r="I17" s="131">
        <v>32176.9</v>
      </c>
      <c r="J17" s="130">
        <v>1199671.8999999999</v>
      </c>
      <c r="K17" s="131" t="s">
        <v>145</v>
      </c>
      <c r="L17" s="130" t="s">
        <v>145</v>
      </c>
      <c r="M17" s="131" t="s">
        <v>145</v>
      </c>
      <c r="N17" s="130">
        <v>76272.100000000006</v>
      </c>
      <c r="O17" s="131" t="s">
        <v>145</v>
      </c>
      <c r="P17" s="130">
        <v>1482.5</v>
      </c>
      <c r="Q17" s="131">
        <v>15196.4</v>
      </c>
      <c r="R17" s="132">
        <v>9015.1</v>
      </c>
      <c r="S17" s="78"/>
    </row>
    <row r="18" spans="1:19">
      <c r="A18" s="129" t="s">
        <v>39</v>
      </c>
      <c r="B18" s="130">
        <v>3367780.3</v>
      </c>
      <c r="C18" s="131">
        <v>90861.7</v>
      </c>
      <c r="D18" s="130" t="s">
        <v>145</v>
      </c>
      <c r="E18" s="131">
        <v>61187.8</v>
      </c>
      <c r="F18" s="130">
        <v>27859.9</v>
      </c>
      <c r="G18" s="131">
        <v>25298.400000000001</v>
      </c>
      <c r="H18" s="130">
        <v>223001.9</v>
      </c>
      <c r="I18" s="131">
        <v>202793.60000000001</v>
      </c>
      <c r="J18" s="130">
        <v>28417.9</v>
      </c>
      <c r="K18" s="131">
        <v>2390790.5</v>
      </c>
      <c r="L18" s="130">
        <v>44024.2</v>
      </c>
      <c r="M18" s="131">
        <v>10040.9</v>
      </c>
      <c r="N18" s="130">
        <v>99302.9</v>
      </c>
      <c r="O18" s="131">
        <v>44124.9</v>
      </c>
      <c r="P18" s="130" t="s">
        <v>145</v>
      </c>
      <c r="Q18" s="131">
        <v>41788.699999999997</v>
      </c>
      <c r="R18" s="132">
        <v>22448</v>
      </c>
      <c r="S18" s="78"/>
    </row>
    <row r="19" spans="1:19">
      <c r="A19" s="129" t="s">
        <v>40</v>
      </c>
      <c r="B19" s="130">
        <v>2404095.4</v>
      </c>
      <c r="C19" s="131">
        <v>5572.2</v>
      </c>
      <c r="D19" s="130" t="s">
        <v>145</v>
      </c>
      <c r="E19" s="131" t="s">
        <v>145</v>
      </c>
      <c r="F19" s="130" t="s">
        <v>145</v>
      </c>
      <c r="G19" s="131">
        <v>30481.599999999999</v>
      </c>
      <c r="H19" s="130">
        <v>3089.6</v>
      </c>
      <c r="I19" s="131">
        <v>599272.69999999995</v>
      </c>
      <c r="J19" s="130">
        <v>4691.8</v>
      </c>
      <c r="K19" s="131" t="s">
        <v>145</v>
      </c>
      <c r="L19" s="130">
        <v>1636349.6</v>
      </c>
      <c r="M19" s="131">
        <v>20290.5</v>
      </c>
      <c r="N19" s="130">
        <v>7355.4</v>
      </c>
      <c r="O19" s="131">
        <v>1113.4000000000001</v>
      </c>
      <c r="P19" s="130" t="s">
        <v>145</v>
      </c>
      <c r="Q19" s="131">
        <v>17286.900000000001</v>
      </c>
      <c r="R19" s="132" t="s">
        <v>145</v>
      </c>
      <c r="S19" s="78"/>
    </row>
    <row r="20" spans="1:19">
      <c r="A20" s="129" t="s">
        <v>41</v>
      </c>
      <c r="B20" s="130">
        <v>5589826.5</v>
      </c>
      <c r="C20" s="131" t="s">
        <v>145</v>
      </c>
      <c r="D20" s="130">
        <v>168328.1</v>
      </c>
      <c r="E20" s="131">
        <v>32681.200000000001</v>
      </c>
      <c r="F20" s="130" t="s">
        <v>145</v>
      </c>
      <c r="G20" s="131">
        <v>19337.3</v>
      </c>
      <c r="H20" s="130" t="s">
        <v>145</v>
      </c>
      <c r="I20" s="131">
        <v>201812.7</v>
      </c>
      <c r="J20" s="130" t="s">
        <v>145</v>
      </c>
      <c r="K20" s="131" t="s">
        <v>145</v>
      </c>
      <c r="L20" s="130" t="s">
        <v>145</v>
      </c>
      <c r="M20" s="131">
        <v>4452896.9000000004</v>
      </c>
      <c r="N20" s="130">
        <v>55236</v>
      </c>
      <c r="O20" s="131" t="s">
        <v>145</v>
      </c>
      <c r="P20" s="130">
        <v>127082.1</v>
      </c>
      <c r="Q20" s="131">
        <v>31085.3</v>
      </c>
      <c r="R20" s="132" t="s">
        <v>145</v>
      </c>
      <c r="S20" s="78"/>
    </row>
    <row r="21" spans="1:19">
      <c r="A21" s="129" t="s">
        <v>42</v>
      </c>
      <c r="B21" s="130">
        <v>9902665.3000000007</v>
      </c>
      <c r="C21" s="131">
        <v>675374.4</v>
      </c>
      <c r="D21" s="130">
        <v>62876.3</v>
      </c>
      <c r="E21" s="131">
        <v>55800.1</v>
      </c>
      <c r="F21" s="130" t="s">
        <v>145</v>
      </c>
      <c r="G21" s="131">
        <v>133496</v>
      </c>
      <c r="H21" s="130">
        <v>579191.6</v>
      </c>
      <c r="I21" s="131">
        <v>527899.4</v>
      </c>
      <c r="J21" s="130">
        <v>347422.3</v>
      </c>
      <c r="K21" s="131">
        <v>65527</v>
      </c>
      <c r="L21" s="130">
        <v>97396.9</v>
      </c>
      <c r="M21" s="131">
        <v>163423.9</v>
      </c>
      <c r="N21" s="130">
        <v>6859137.5999999996</v>
      </c>
      <c r="O21" s="131">
        <v>37447.699999999997</v>
      </c>
      <c r="P21" s="130">
        <v>99364.6</v>
      </c>
      <c r="Q21" s="131" t="s">
        <v>145</v>
      </c>
      <c r="R21" s="132">
        <v>71852.100000000006</v>
      </c>
      <c r="S21" s="78"/>
    </row>
    <row r="22" spans="1:19">
      <c r="A22" s="129" t="s">
        <v>43</v>
      </c>
      <c r="B22" s="130">
        <v>2049130.5</v>
      </c>
      <c r="C22" s="131">
        <v>95105.8</v>
      </c>
      <c r="D22" s="130" t="s">
        <v>145</v>
      </c>
      <c r="E22" s="131" t="s">
        <v>145</v>
      </c>
      <c r="F22" s="130">
        <v>4466.2</v>
      </c>
      <c r="G22" s="131">
        <v>76850.399999999994</v>
      </c>
      <c r="H22" s="130">
        <v>119556.4</v>
      </c>
      <c r="I22" s="131">
        <v>328818.7</v>
      </c>
      <c r="J22" s="130">
        <v>26727.200000000001</v>
      </c>
      <c r="K22" s="131">
        <v>91553.4</v>
      </c>
      <c r="L22" s="130" t="s">
        <v>145</v>
      </c>
      <c r="M22" s="131">
        <v>14413.2</v>
      </c>
      <c r="N22" s="130">
        <v>94407.4</v>
      </c>
      <c r="O22" s="131">
        <v>1083671.1000000001</v>
      </c>
      <c r="P22" s="130" t="s">
        <v>145</v>
      </c>
      <c r="Q22" s="131">
        <v>14102.3</v>
      </c>
      <c r="R22" s="132">
        <v>8487.7000000000007</v>
      </c>
      <c r="S22" s="78"/>
    </row>
    <row r="23" spans="1:19">
      <c r="A23" s="129" t="s">
        <v>44</v>
      </c>
      <c r="B23" s="130">
        <v>1965348.8</v>
      </c>
      <c r="C23" s="131" t="s">
        <v>145</v>
      </c>
      <c r="D23" s="130">
        <v>54855.8</v>
      </c>
      <c r="E23" s="131">
        <v>16262.4</v>
      </c>
      <c r="F23" s="130" t="s">
        <v>145</v>
      </c>
      <c r="G23" s="131" t="s">
        <v>145</v>
      </c>
      <c r="H23" s="130" t="s">
        <v>145</v>
      </c>
      <c r="I23" s="131">
        <v>179067.3</v>
      </c>
      <c r="J23" s="130" t="s">
        <v>145</v>
      </c>
      <c r="K23" s="131">
        <v>940.8</v>
      </c>
      <c r="L23" s="130">
        <v>84902.2</v>
      </c>
      <c r="M23" s="131">
        <v>109855.6</v>
      </c>
      <c r="N23" s="130">
        <v>25331.3</v>
      </c>
      <c r="O23" s="131" t="s">
        <v>145</v>
      </c>
      <c r="P23" s="130">
        <v>1356870</v>
      </c>
      <c r="Q23" s="131">
        <v>35251.800000000003</v>
      </c>
      <c r="R23" s="132" t="s">
        <v>145</v>
      </c>
      <c r="S23" s="78"/>
    </row>
    <row r="24" spans="1:19">
      <c r="A24" s="129" t="s">
        <v>45</v>
      </c>
      <c r="B24" s="130">
        <v>8427920</v>
      </c>
      <c r="C24" s="131">
        <v>380033.6</v>
      </c>
      <c r="D24" s="130">
        <v>122507</v>
      </c>
      <c r="E24" s="131">
        <v>39640.800000000003</v>
      </c>
      <c r="F24" s="130">
        <v>156654.6</v>
      </c>
      <c r="G24" s="131">
        <v>114039.3</v>
      </c>
      <c r="H24" s="130">
        <v>128798.3</v>
      </c>
      <c r="I24" s="131">
        <v>367249.7</v>
      </c>
      <c r="J24" s="130">
        <v>40522.1</v>
      </c>
      <c r="K24" s="131">
        <v>27927.200000000001</v>
      </c>
      <c r="L24" s="130">
        <v>18034.7</v>
      </c>
      <c r="M24" s="131">
        <v>86144.7</v>
      </c>
      <c r="N24" s="130">
        <v>169373.5</v>
      </c>
      <c r="O24" s="131">
        <v>2704.1</v>
      </c>
      <c r="P24" s="130">
        <v>72392.3</v>
      </c>
      <c r="Q24" s="131">
        <v>6480542.9000000004</v>
      </c>
      <c r="R24" s="132">
        <v>221355.2</v>
      </c>
      <c r="S24" s="78"/>
    </row>
    <row r="25" spans="1:19">
      <c r="A25" s="129" t="s">
        <v>46</v>
      </c>
      <c r="B25" s="130">
        <v>2596977.5</v>
      </c>
      <c r="C25" s="131" t="s">
        <v>145</v>
      </c>
      <c r="D25" s="130" t="s">
        <v>145</v>
      </c>
      <c r="E25" s="131">
        <v>1728.7</v>
      </c>
      <c r="F25" s="130">
        <v>45384.1</v>
      </c>
      <c r="G25" s="131" t="s">
        <v>145</v>
      </c>
      <c r="H25" s="130">
        <v>11194</v>
      </c>
      <c r="I25" s="131">
        <v>44596.3</v>
      </c>
      <c r="J25" s="130" t="s">
        <v>145</v>
      </c>
      <c r="K25" s="131" t="s">
        <v>145</v>
      </c>
      <c r="L25" s="130" t="s">
        <v>145</v>
      </c>
      <c r="M25" s="131">
        <v>35104.9</v>
      </c>
      <c r="N25" s="130">
        <v>26966.2</v>
      </c>
      <c r="O25" s="131" t="s">
        <v>145</v>
      </c>
      <c r="P25" s="130" t="s">
        <v>145</v>
      </c>
      <c r="Q25" s="131">
        <v>41778</v>
      </c>
      <c r="R25" s="132">
        <v>2347233.4</v>
      </c>
      <c r="S25" s="78"/>
    </row>
    <row r="26" spans="1:19">
      <c r="A26" s="133"/>
      <c r="B26" s="130"/>
      <c r="C26" s="131"/>
      <c r="D26" s="130"/>
      <c r="E26" s="131"/>
      <c r="F26" s="130"/>
      <c r="G26" s="131"/>
      <c r="H26" s="130"/>
      <c r="I26" s="131"/>
      <c r="J26" s="130"/>
      <c r="K26" s="131"/>
      <c r="L26" s="130"/>
      <c r="M26" s="131"/>
      <c r="N26" s="130"/>
      <c r="O26" s="131"/>
      <c r="P26" s="130"/>
      <c r="Q26" s="131"/>
      <c r="R26" s="132"/>
      <c r="S26" s="78"/>
    </row>
    <row r="27" spans="1:19" ht="14.25">
      <c r="A27" s="446" t="s">
        <v>191</v>
      </c>
      <c r="B27" s="447"/>
      <c r="C27" s="447"/>
      <c r="D27" s="447"/>
      <c r="E27" s="447"/>
      <c r="F27" s="447"/>
      <c r="G27" s="447"/>
      <c r="H27" s="447"/>
      <c r="I27" s="447"/>
      <c r="J27" s="447"/>
      <c r="K27" s="447"/>
      <c r="L27" s="447"/>
      <c r="M27" s="447"/>
      <c r="N27" s="447"/>
      <c r="O27" s="447"/>
      <c r="P27" s="447"/>
      <c r="Q27" s="447"/>
      <c r="R27" s="447"/>
    </row>
    <row r="28" spans="1:19">
      <c r="A28" s="134" t="s">
        <v>271</v>
      </c>
      <c r="H28" s="70"/>
      <c r="Q28" s="70"/>
    </row>
    <row r="29" spans="1:19">
      <c r="H29" s="70"/>
      <c r="Q29" s="70"/>
    </row>
    <row r="30" spans="1:19">
      <c r="H30" s="70"/>
      <c r="Q30" s="70"/>
    </row>
    <row r="31" spans="1:19">
      <c r="H31" s="70"/>
      <c r="Q31" s="70"/>
    </row>
    <row r="32" spans="1:19">
      <c r="H32" s="70"/>
      <c r="Q32" s="70"/>
    </row>
    <row r="33" s="70" customFormat="1"/>
    <row r="34" s="70" customFormat="1"/>
  </sheetData>
  <mergeCells count="23">
    <mergeCell ref="I5:I6"/>
    <mergeCell ref="A27:R27"/>
    <mergeCell ref="R5:R6"/>
    <mergeCell ref="B7:R7"/>
    <mergeCell ref="J5:J6"/>
    <mergeCell ref="K5:K6"/>
    <mergeCell ref="P5:P6"/>
    <mergeCell ref="A2:R2"/>
    <mergeCell ref="A3:R3"/>
    <mergeCell ref="L5:L6"/>
    <mergeCell ref="M5:M6"/>
    <mergeCell ref="N5:N6"/>
    <mergeCell ref="O5:O6"/>
    <mergeCell ref="A4:A7"/>
    <mergeCell ref="B4:B6"/>
    <mergeCell ref="C4:R4"/>
    <mergeCell ref="C5:C6"/>
    <mergeCell ref="D5:D6"/>
    <mergeCell ref="E5:E6"/>
    <mergeCell ref="Q5:Q6"/>
    <mergeCell ref="F5:F6"/>
    <mergeCell ref="G5:G6"/>
    <mergeCell ref="H5:H6"/>
  </mergeCells>
  <pageMargins left="0.70866141732283472" right="0.70866141732283472" top="0.74803149606299213" bottom="0.74803149606299213" header="0.31496062992125984" footer="0.31496062992125984"/>
  <pageSetup paperSize="9" scale="95" orientation="landscape" r:id="rId1"/>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1"/>
  <sheetViews>
    <sheetView zoomScaleNormal="100" workbookViewId="0">
      <pane ySplit="6" topLeftCell="A7" activePane="bottomLeft" state="frozen"/>
      <selection pane="bottomLeft"/>
    </sheetView>
  </sheetViews>
  <sheetFormatPr defaultColWidth="9.140625" defaultRowHeight="12.75"/>
  <cols>
    <col min="1" max="1" width="27.140625" style="70" customWidth="1"/>
    <col min="2" max="2" width="6.42578125" style="70" customWidth="1"/>
    <col min="3" max="3" width="17.7109375" style="46" customWidth="1"/>
    <col min="4" max="4" width="19.7109375" style="46" customWidth="1"/>
    <col min="5" max="5" width="17.7109375" style="46" customWidth="1"/>
    <col min="6" max="6" width="19.42578125" style="46" customWidth="1"/>
    <col min="7" max="7" width="10.28515625" style="78" bestFit="1" customWidth="1"/>
    <col min="8" max="8" width="10.85546875" style="78" customWidth="1"/>
    <col min="9" max="9" width="11.5703125" style="78" customWidth="1"/>
    <col min="10" max="16384" width="9.140625" style="70"/>
  </cols>
  <sheetData>
    <row r="2" spans="1:9" ht="41.25" customHeight="1">
      <c r="A2" s="452" t="s">
        <v>339</v>
      </c>
      <c r="B2" s="452"/>
      <c r="C2" s="452"/>
      <c r="D2" s="452"/>
      <c r="E2" s="452"/>
      <c r="F2" s="452"/>
    </row>
    <row r="3" spans="1:9" ht="40.5" customHeight="1">
      <c r="A3" s="463" t="s">
        <v>247</v>
      </c>
      <c r="B3" s="464"/>
      <c r="C3" s="464"/>
      <c r="D3" s="464"/>
      <c r="E3" s="464"/>
      <c r="F3" s="464"/>
      <c r="G3" s="372"/>
      <c r="H3" s="372"/>
      <c r="I3" s="372"/>
    </row>
    <row r="4" spans="1:9" ht="33.75" customHeight="1">
      <c r="A4" s="453" t="s">
        <v>280</v>
      </c>
      <c r="B4" s="454"/>
      <c r="C4" s="459" t="s">
        <v>295</v>
      </c>
      <c r="D4" s="459"/>
      <c r="E4" s="459" t="s">
        <v>296</v>
      </c>
      <c r="F4" s="460"/>
    </row>
    <row r="5" spans="1:9" ht="76.5">
      <c r="A5" s="455"/>
      <c r="B5" s="456"/>
      <c r="C5" s="136" t="s">
        <v>281</v>
      </c>
      <c r="D5" s="137" t="s">
        <v>309</v>
      </c>
      <c r="E5" s="138" t="s">
        <v>281</v>
      </c>
      <c r="F5" s="138" t="s">
        <v>310</v>
      </c>
    </row>
    <row r="6" spans="1:9" ht="26.25" customHeight="1" thickBot="1">
      <c r="A6" s="457"/>
      <c r="B6" s="458"/>
      <c r="C6" s="461" t="s">
        <v>299</v>
      </c>
      <c r="D6" s="461"/>
      <c r="E6" s="461"/>
      <c r="F6" s="462"/>
    </row>
    <row r="7" spans="1:9" ht="21.75" customHeight="1">
      <c r="A7" s="139" t="s">
        <v>128</v>
      </c>
      <c r="B7" s="140">
        <v>2013</v>
      </c>
      <c r="C7" s="8">
        <v>84803627.299999997</v>
      </c>
      <c r="D7" s="8">
        <v>59970224.299999997</v>
      </c>
      <c r="E7" s="9">
        <v>84803627.299999997</v>
      </c>
      <c r="F7" s="141">
        <v>59970224.299999997</v>
      </c>
      <c r="G7" s="88"/>
      <c r="H7" s="88"/>
      <c r="I7" s="88"/>
    </row>
    <row r="8" spans="1:9">
      <c r="A8" s="142" t="s">
        <v>11</v>
      </c>
      <c r="B8" s="140">
        <v>2014</v>
      </c>
      <c r="C8" s="5">
        <v>88335585</v>
      </c>
      <c r="D8" s="5">
        <v>63951310</v>
      </c>
      <c r="E8" s="9">
        <v>88335585</v>
      </c>
      <c r="F8" s="7">
        <v>63951310</v>
      </c>
      <c r="G8" s="88"/>
      <c r="H8" s="88"/>
      <c r="I8" s="88"/>
    </row>
    <row r="9" spans="1:9">
      <c r="A9" s="143"/>
      <c r="B9" s="140">
        <v>2015</v>
      </c>
      <c r="C9" s="5">
        <v>88637432.400000006</v>
      </c>
      <c r="D9" s="5">
        <v>63913479.200000003</v>
      </c>
      <c r="E9" s="9">
        <v>88637432.400000006</v>
      </c>
      <c r="F9" s="7">
        <v>63913479.200000003</v>
      </c>
      <c r="G9" s="88"/>
      <c r="H9" s="88"/>
      <c r="I9" s="88"/>
    </row>
    <row r="10" spans="1:9">
      <c r="A10" s="143"/>
      <c r="B10" s="140">
        <v>2016</v>
      </c>
      <c r="C10" s="5">
        <v>77096295.799999997</v>
      </c>
      <c r="D10" s="5">
        <v>58417138</v>
      </c>
      <c r="E10" s="9">
        <v>77096295.799999997</v>
      </c>
      <c r="F10" s="7">
        <v>58417138</v>
      </c>
      <c r="G10" s="88"/>
      <c r="H10" s="88"/>
      <c r="I10" s="88"/>
    </row>
    <row r="11" spans="1:9">
      <c r="A11" s="143"/>
      <c r="B11" s="140">
        <v>2017</v>
      </c>
      <c r="C11" s="145">
        <v>86619605.799999997</v>
      </c>
      <c r="D11" s="145">
        <v>66134607.100000001</v>
      </c>
      <c r="E11" s="146">
        <v>86619605.799999997</v>
      </c>
      <c r="F11" s="147">
        <v>66134607.100000001</v>
      </c>
      <c r="G11" s="88"/>
      <c r="H11" s="88"/>
      <c r="I11" s="88"/>
    </row>
    <row r="12" spans="1:9">
      <c r="A12" s="148" t="s">
        <v>129</v>
      </c>
      <c r="B12" s="149">
        <v>2013</v>
      </c>
      <c r="C12" s="130">
        <f>6562855.8</f>
        <v>6562855.7999999998</v>
      </c>
      <c r="D12" s="131">
        <f>4196222.1</f>
        <v>4196222.0999999996</v>
      </c>
      <c r="E12" s="131">
        <f>7150894.2</f>
        <v>7150894.2000000002</v>
      </c>
      <c r="F12" s="130">
        <v>4741897.7</v>
      </c>
      <c r="G12" s="88"/>
      <c r="H12" s="88"/>
      <c r="I12" s="88"/>
    </row>
    <row r="13" spans="1:9">
      <c r="A13" s="148"/>
      <c r="B13" s="149">
        <v>2014</v>
      </c>
      <c r="C13" s="130">
        <f>6265685.5</f>
        <v>6265685.5</v>
      </c>
      <c r="D13" s="131">
        <f>4130502.6</f>
        <v>4130502.6</v>
      </c>
      <c r="E13" s="131">
        <f>8009484.1</f>
        <v>8009484.0999999996</v>
      </c>
      <c r="F13" s="150">
        <f>5659299.1</f>
        <v>5659299.0999999996</v>
      </c>
      <c r="G13" s="88"/>
      <c r="H13" s="88"/>
      <c r="I13" s="88"/>
    </row>
    <row r="14" spans="1:9">
      <c r="A14" s="148"/>
      <c r="B14" s="149">
        <v>2015</v>
      </c>
      <c r="C14" s="151">
        <v>6727395</v>
      </c>
      <c r="D14" s="152">
        <v>4208666.4000000004</v>
      </c>
      <c r="E14" s="131">
        <f>8518675</f>
        <v>8518675</v>
      </c>
      <c r="F14" s="150">
        <f>5693578.9</f>
        <v>5693578.9000000004</v>
      </c>
      <c r="G14" s="88"/>
      <c r="H14" s="88"/>
      <c r="I14" s="88"/>
    </row>
    <row r="15" spans="1:9">
      <c r="A15" s="148"/>
      <c r="B15" s="149">
        <v>2016</v>
      </c>
      <c r="C15" s="153">
        <v>5679880.5999999996</v>
      </c>
      <c r="D15" s="131">
        <f>3871911.9</f>
        <v>3871911.9</v>
      </c>
      <c r="E15" s="131">
        <f>7912987.9</f>
        <v>7912987.9000000004</v>
      </c>
      <c r="F15" s="154">
        <v>5877930.0999999996</v>
      </c>
      <c r="G15" s="88"/>
      <c r="H15" s="88"/>
      <c r="I15" s="88"/>
    </row>
    <row r="16" spans="1:9">
      <c r="A16" s="148"/>
      <c r="B16" s="149">
        <v>2017</v>
      </c>
      <c r="C16" s="132">
        <v>6209427</v>
      </c>
      <c r="D16" s="131">
        <v>4396401.4000000004</v>
      </c>
      <c r="E16" s="150">
        <f>8179621.6</f>
        <v>8179621.5999999996</v>
      </c>
      <c r="F16" s="132">
        <f>6262851.9</f>
        <v>6262851.9000000004</v>
      </c>
      <c r="G16" s="88"/>
      <c r="H16" s="88"/>
      <c r="I16" s="88"/>
    </row>
    <row r="17" spans="1:6">
      <c r="A17" s="148" t="s">
        <v>130</v>
      </c>
      <c r="B17" s="149">
        <v>2013</v>
      </c>
      <c r="C17" s="130">
        <f>4063937.5</f>
        <v>4063937.5</v>
      </c>
      <c r="D17" s="131">
        <f>2588918.6</f>
        <v>2588918.6</v>
      </c>
      <c r="E17" s="130">
        <f>3984699.5</f>
        <v>3984699.5</v>
      </c>
      <c r="F17" s="132">
        <f>2523321</f>
        <v>2523321</v>
      </c>
    </row>
    <row r="18" spans="1:6">
      <c r="A18" s="148"/>
      <c r="B18" s="149">
        <v>2014</v>
      </c>
      <c r="C18" s="130">
        <f>4174431.2</f>
        <v>4174431.2</v>
      </c>
      <c r="D18" s="131">
        <f>2706678.9</f>
        <v>2706678.9</v>
      </c>
      <c r="E18" s="130">
        <f>4498755.2</f>
        <v>4498755.2</v>
      </c>
      <c r="F18" s="132">
        <f>3084117.1</f>
        <v>3084117.1</v>
      </c>
    </row>
    <row r="19" spans="1:6">
      <c r="A19" s="148"/>
      <c r="B19" s="149">
        <v>2015</v>
      </c>
      <c r="C19" s="151">
        <v>4286662.9000000004</v>
      </c>
      <c r="D19" s="152">
        <v>2901853.1</v>
      </c>
      <c r="E19" s="150">
        <f>4403512.1</f>
        <v>4403512.0999999996</v>
      </c>
      <c r="F19" s="132">
        <f>2947439.4</f>
        <v>2947439.4</v>
      </c>
    </row>
    <row r="20" spans="1:6">
      <c r="A20" s="148"/>
      <c r="B20" s="149">
        <v>2016</v>
      </c>
      <c r="C20" s="132">
        <f>3578083.5</f>
        <v>3578083.5</v>
      </c>
      <c r="D20" s="131">
        <f>2471050.8</f>
        <v>2471050.7999999998</v>
      </c>
      <c r="E20" s="155">
        <v>3414626.7</v>
      </c>
      <c r="F20" s="151">
        <v>2305946.2999999998</v>
      </c>
    </row>
    <row r="21" spans="1:6">
      <c r="A21" s="148"/>
      <c r="B21" s="149">
        <v>2017</v>
      </c>
      <c r="C21" s="132">
        <f>3954072.4</f>
        <v>3954072.4</v>
      </c>
      <c r="D21" s="131">
        <f>2836263.1</f>
        <v>2836263.1</v>
      </c>
      <c r="E21" s="150">
        <f>3978192.8</f>
        <v>3978192.8</v>
      </c>
      <c r="F21" s="132">
        <f>2829545.4</f>
        <v>2829545.4</v>
      </c>
    </row>
    <row r="22" spans="1:6">
      <c r="A22" s="148" t="s">
        <v>131</v>
      </c>
      <c r="B22" s="149">
        <v>2013</v>
      </c>
      <c r="C22" s="130">
        <f>3020423.8</f>
        <v>3020423.8</v>
      </c>
      <c r="D22" s="131">
        <f>2148967.3</f>
        <v>2148967.2999999998</v>
      </c>
      <c r="E22" s="130">
        <f>3345164.3</f>
        <v>3345164.3</v>
      </c>
      <c r="F22" s="132">
        <f>2462421.1</f>
        <v>2462421.1</v>
      </c>
    </row>
    <row r="23" spans="1:6">
      <c r="A23" s="143"/>
      <c r="B23" s="149">
        <v>2014</v>
      </c>
      <c r="C23" s="130">
        <f>2924457.5</f>
        <v>2924457.5</v>
      </c>
      <c r="D23" s="131">
        <f>2237241.4</f>
        <v>2237241.4</v>
      </c>
      <c r="E23" s="130">
        <f>3447942.4</f>
        <v>3447942.4</v>
      </c>
      <c r="F23" s="132">
        <f>2716549.9</f>
        <v>2716549.9</v>
      </c>
    </row>
    <row r="24" spans="1:6">
      <c r="A24" s="143"/>
      <c r="B24" s="149">
        <v>2015</v>
      </c>
      <c r="C24" s="151">
        <v>2800580.6</v>
      </c>
      <c r="D24" s="152">
        <v>2151198.1</v>
      </c>
      <c r="E24" s="150">
        <f>3010425.2</f>
        <v>3010425.2</v>
      </c>
      <c r="F24" s="132">
        <f>2400971.2</f>
        <v>2400971.2000000002</v>
      </c>
    </row>
    <row r="25" spans="1:6">
      <c r="A25" s="143"/>
      <c r="B25" s="149">
        <v>2016</v>
      </c>
      <c r="C25" s="151">
        <v>2498846</v>
      </c>
      <c r="D25" s="152">
        <v>1987690.9</v>
      </c>
      <c r="E25" s="155">
        <v>2803845.7</v>
      </c>
      <c r="F25" s="151">
        <v>2290009.2000000002</v>
      </c>
    </row>
    <row r="26" spans="1:6">
      <c r="A26" s="143"/>
      <c r="B26" s="149">
        <v>2017</v>
      </c>
      <c r="C26" s="132">
        <f>2932125.8</f>
        <v>2932125.8</v>
      </c>
      <c r="D26" s="131">
        <f>2327071.6</f>
        <v>2327071.6</v>
      </c>
      <c r="E26" s="150">
        <f>3161057.7</f>
        <v>3161057.7</v>
      </c>
      <c r="F26" s="132">
        <f>2515774.5</f>
        <v>2515774.5</v>
      </c>
    </row>
    <row r="27" spans="1:6">
      <c r="A27" s="148" t="s">
        <v>132</v>
      </c>
      <c r="B27" s="149">
        <v>2013</v>
      </c>
      <c r="C27" s="130">
        <f>1076515.6</f>
        <v>1076515.6000000001</v>
      </c>
      <c r="D27" s="131">
        <f>696702.9</f>
        <v>696702.9</v>
      </c>
      <c r="E27" s="130">
        <f>1683349.6</f>
        <v>1683349.6</v>
      </c>
      <c r="F27" s="132">
        <f>1229076.9</f>
        <v>1229076.8999999999</v>
      </c>
    </row>
    <row r="28" spans="1:6">
      <c r="A28" s="148"/>
      <c r="B28" s="149">
        <v>2014</v>
      </c>
      <c r="C28" s="130">
        <f>1121333.8</f>
        <v>1121333.8</v>
      </c>
      <c r="D28" s="131">
        <f>808860.7</f>
        <v>808860.7</v>
      </c>
      <c r="E28" s="130">
        <f>1778224.6</f>
        <v>1778224.6</v>
      </c>
      <c r="F28" s="132">
        <f>1326185.3</f>
        <v>1326185.3</v>
      </c>
    </row>
    <row r="29" spans="1:6">
      <c r="A29" s="148"/>
      <c r="B29" s="149">
        <v>2015</v>
      </c>
      <c r="C29" s="153">
        <v>1228190.6000000001</v>
      </c>
      <c r="D29" s="156">
        <v>835264.1</v>
      </c>
      <c r="E29" s="157">
        <v>1742910.4</v>
      </c>
      <c r="F29" s="153">
        <v>1238906.3</v>
      </c>
    </row>
    <row r="30" spans="1:6">
      <c r="A30" s="148"/>
      <c r="B30" s="149">
        <v>2016</v>
      </c>
      <c r="C30" s="132">
        <f>1076264.6</f>
        <v>1076264.6000000001</v>
      </c>
      <c r="D30" s="131">
        <f>663864.4</f>
        <v>663864.4</v>
      </c>
      <c r="E30" s="150">
        <f>1476479.5</f>
        <v>1476479.5</v>
      </c>
      <c r="F30" s="132">
        <f>1015241.8</f>
        <v>1015241.8</v>
      </c>
    </row>
    <row r="31" spans="1:6">
      <c r="A31" s="148"/>
      <c r="B31" s="149">
        <v>2017</v>
      </c>
      <c r="C31" s="132">
        <v>1113201.5</v>
      </c>
      <c r="D31" s="132">
        <v>661268.4</v>
      </c>
      <c r="E31" s="150">
        <f>1691841.7</f>
        <v>1691841.7</v>
      </c>
      <c r="F31" s="132">
        <f>1188171.5</f>
        <v>1188171.5</v>
      </c>
    </row>
    <row r="32" spans="1:6">
      <c r="A32" s="148" t="s">
        <v>133</v>
      </c>
      <c r="B32" s="149">
        <v>2013</v>
      </c>
      <c r="C32" s="130">
        <f>4009421.9</f>
        <v>4009421.9</v>
      </c>
      <c r="D32" s="131">
        <f>3132581.4</f>
        <v>3132581.4</v>
      </c>
      <c r="E32" s="130">
        <f>4777902.5</f>
        <v>4777902.5</v>
      </c>
      <c r="F32" s="132">
        <f>3733320</f>
        <v>3733320</v>
      </c>
    </row>
    <row r="33" spans="1:6">
      <c r="A33" s="148"/>
      <c r="B33" s="149">
        <v>2014</v>
      </c>
      <c r="C33" s="156">
        <v>4445900.9000000004</v>
      </c>
      <c r="D33" s="156">
        <v>3517483.4</v>
      </c>
      <c r="E33" s="130">
        <f>4997101.4</f>
        <v>4997101.4000000004</v>
      </c>
      <c r="F33" s="132">
        <f>3860789.8</f>
        <v>3860789.8</v>
      </c>
    </row>
    <row r="34" spans="1:6">
      <c r="A34" s="148"/>
      <c r="B34" s="149">
        <v>2015</v>
      </c>
      <c r="C34" s="131">
        <f>4617202.6</f>
        <v>4617202.5999999996</v>
      </c>
      <c r="D34" s="131">
        <f>3787471.3</f>
        <v>3787471.3</v>
      </c>
      <c r="E34" s="150">
        <f>5494835.2</f>
        <v>5494835.2000000002</v>
      </c>
      <c r="F34" s="153">
        <v>4380702</v>
      </c>
    </row>
    <row r="35" spans="1:6">
      <c r="A35" s="148"/>
      <c r="B35" s="149">
        <v>2016</v>
      </c>
      <c r="C35" s="131">
        <f>3326096.5</f>
        <v>3326096.5</v>
      </c>
      <c r="D35" s="156">
        <v>2694076.3</v>
      </c>
      <c r="E35" s="131">
        <f>3905852.6</f>
        <v>3905852.6</v>
      </c>
      <c r="F35" s="150">
        <f>3152108.1</f>
        <v>3152108.1</v>
      </c>
    </row>
    <row r="36" spans="1:6">
      <c r="A36" s="148"/>
      <c r="B36" s="149">
        <v>2017</v>
      </c>
      <c r="C36" s="132">
        <f>3462171.5</f>
        <v>3462171.5</v>
      </c>
      <c r="D36" s="131">
        <f>2372349.3</f>
        <v>2372349.2999999998</v>
      </c>
      <c r="E36" s="131">
        <f>3906001.4</f>
        <v>3906001.4</v>
      </c>
      <c r="F36" s="150">
        <f>2719497.7</f>
        <v>2719497.7</v>
      </c>
    </row>
    <row r="37" spans="1:6">
      <c r="A37" s="148" t="s">
        <v>134</v>
      </c>
      <c r="B37" s="149">
        <v>2013</v>
      </c>
      <c r="C37" s="130">
        <f>8605774</f>
        <v>8605774</v>
      </c>
      <c r="D37" s="131">
        <f>5956682</f>
        <v>5956682</v>
      </c>
      <c r="E37" s="131">
        <f>7501647.6</f>
        <v>7501647.5999999996</v>
      </c>
      <c r="F37" s="150">
        <f>5010363.7</f>
        <v>5010363.7</v>
      </c>
    </row>
    <row r="38" spans="1:6">
      <c r="A38" s="148"/>
      <c r="B38" s="149">
        <v>2014</v>
      </c>
      <c r="C38" s="153">
        <v>8787085.0999999996</v>
      </c>
      <c r="D38" s="156">
        <v>6007287</v>
      </c>
      <c r="E38" s="131">
        <f>7839409.4</f>
        <v>7839409.4000000004</v>
      </c>
      <c r="F38" s="150">
        <f>5176194.7</f>
        <v>5176194.7</v>
      </c>
    </row>
    <row r="39" spans="1:6">
      <c r="A39" s="148"/>
      <c r="B39" s="149">
        <v>2015</v>
      </c>
      <c r="C39" s="130">
        <v>9046797.8000000007</v>
      </c>
      <c r="D39" s="156">
        <v>6370129.2000000002</v>
      </c>
      <c r="E39" s="131">
        <f>8440329</f>
        <v>8440329</v>
      </c>
      <c r="F39" s="150">
        <f>5949972.1</f>
        <v>5949972.0999999996</v>
      </c>
    </row>
    <row r="40" spans="1:6">
      <c r="A40" s="148"/>
      <c r="B40" s="149">
        <v>2016</v>
      </c>
      <c r="C40" s="132">
        <f>8436803.6</f>
        <v>8436803.5999999996</v>
      </c>
      <c r="D40" s="131">
        <f>6217794.5</f>
        <v>6217794.5</v>
      </c>
      <c r="E40" s="156">
        <v>7964417.0999999996</v>
      </c>
      <c r="F40" s="157">
        <v>5874370.7999999998</v>
      </c>
    </row>
    <row r="41" spans="1:6">
      <c r="A41" s="148"/>
      <c r="B41" s="149">
        <v>2017</v>
      </c>
      <c r="C41" s="132">
        <v>9209701</v>
      </c>
      <c r="D41" s="131">
        <v>6886758.2999999998</v>
      </c>
      <c r="E41" s="131">
        <f>9151749.2</f>
        <v>9151749.1999999993</v>
      </c>
      <c r="F41" s="150">
        <f>6986447.7</f>
        <v>6986447.7000000002</v>
      </c>
    </row>
    <row r="42" spans="1:6">
      <c r="A42" s="148" t="s">
        <v>135</v>
      </c>
      <c r="B42" s="149">
        <v>2013</v>
      </c>
      <c r="C42" s="130">
        <f>19433461.7</f>
        <v>19433461.699999999</v>
      </c>
      <c r="D42" s="131">
        <f>15651441.2</f>
        <v>15651441.199999999</v>
      </c>
      <c r="E42" s="131">
        <f>15689476</f>
        <v>15689476</v>
      </c>
      <c r="F42" s="150">
        <f>12007728.6</f>
        <v>12007728.6</v>
      </c>
    </row>
    <row r="43" spans="1:6">
      <c r="A43" s="148"/>
      <c r="B43" s="149">
        <v>2014</v>
      </c>
      <c r="C43" s="153">
        <v>22264961.600000001</v>
      </c>
      <c r="D43" s="156">
        <v>18052577.300000001</v>
      </c>
      <c r="E43" s="132">
        <f>18198455.1</f>
        <v>18198455.100000001</v>
      </c>
      <c r="F43" s="132">
        <f>13997480.8</f>
        <v>13997480.800000001</v>
      </c>
    </row>
    <row r="44" spans="1:6">
      <c r="A44" s="148"/>
      <c r="B44" s="149">
        <v>2015</v>
      </c>
      <c r="C44" s="130">
        <f>19795304.5</f>
        <v>19795304.5</v>
      </c>
      <c r="D44" s="156">
        <v>16513516.699999999</v>
      </c>
      <c r="E44" s="130">
        <v>16121432</v>
      </c>
      <c r="F44" s="158">
        <v>12555084.5</v>
      </c>
    </row>
    <row r="45" spans="1:6">
      <c r="A45" s="148"/>
      <c r="B45" s="149">
        <v>2016</v>
      </c>
      <c r="C45" s="132">
        <f>18612340.9</f>
        <v>18612340.899999999</v>
      </c>
      <c r="D45" s="131">
        <f>16193744.6</f>
        <v>16193744.6</v>
      </c>
      <c r="E45" s="153">
        <v>13812827.5</v>
      </c>
      <c r="F45" s="153">
        <v>11196042.800000001</v>
      </c>
    </row>
    <row r="46" spans="1:6">
      <c r="A46" s="148"/>
      <c r="B46" s="149">
        <v>2017</v>
      </c>
      <c r="C46" s="132">
        <f>21741286.8</f>
        <v>21741286.800000001</v>
      </c>
      <c r="D46" s="131">
        <f>18723531.8</f>
        <v>18723531.800000001</v>
      </c>
      <c r="E46" s="132">
        <v>16092346</v>
      </c>
      <c r="F46" s="132">
        <v>13155296.6</v>
      </c>
    </row>
    <row r="47" spans="1:6">
      <c r="A47" s="148" t="s">
        <v>136</v>
      </c>
      <c r="B47" s="149">
        <v>2013</v>
      </c>
      <c r="C47" s="130">
        <f>1256410.4</f>
        <v>1256410.3999999999</v>
      </c>
      <c r="D47" s="131">
        <f>801528.7</f>
        <v>801528.7</v>
      </c>
      <c r="E47" s="131">
        <f>1786625</f>
        <v>1786625</v>
      </c>
      <c r="F47" s="150">
        <f>1158177.3</f>
        <v>1158177.3</v>
      </c>
    </row>
    <row r="48" spans="1:6">
      <c r="A48" s="148"/>
      <c r="B48" s="149">
        <v>2014</v>
      </c>
      <c r="C48" s="153">
        <v>1419215.4</v>
      </c>
      <c r="D48" s="156">
        <v>940797.7</v>
      </c>
      <c r="E48" s="131">
        <f>1942546.8</f>
        <v>1942546.8</v>
      </c>
      <c r="F48" s="150">
        <f>1266378.9</f>
        <v>1266378.8999999999</v>
      </c>
    </row>
    <row r="49" spans="1:6">
      <c r="A49" s="148"/>
      <c r="B49" s="149">
        <v>2015</v>
      </c>
      <c r="C49" s="153">
        <v>1537750.4</v>
      </c>
      <c r="D49" s="156">
        <v>1035879.2</v>
      </c>
      <c r="E49" s="156">
        <v>1964084</v>
      </c>
      <c r="F49" s="157">
        <v>1363055.6</v>
      </c>
    </row>
    <row r="50" spans="1:6">
      <c r="A50" s="148"/>
      <c r="B50" s="149">
        <v>2016</v>
      </c>
      <c r="C50" s="153">
        <v>1452744.4</v>
      </c>
      <c r="D50" s="156">
        <v>974325.2</v>
      </c>
      <c r="E50" s="156">
        <v>2184101.4</v>
      </c>
      <c r="F50" s="157">
        <v>1600498.2</v>
      </c>
    </row>
    <row r="51" spans="1:6">
      <c r="A51" s="148"/>
      <c r="B51" s="149">
        <v>2017</v>
      </c>
      <c r="C51" s="132">
        <f>1693875.5</f>
        <v>1693875.5</v>
      </c>
      <c r="D51" s="131">
        <f>1107093.5</f>
        <v>1107093.5</v>
      </c>
      <c r="E51" s="150">
        <f>2220002.8</f>
        <v>2220002.7999999998</v>
      </c>
      <c r="F51" s="159">
        <f>1529699</f>
        <v>1529699</v>
      </c>
    </row>
    <row r="52" spans="1:6">
      <c r="A52" s="148" t="s">
        <v>137</v>
      </c>
      <c r="B52" s="149">
        <v>2013</v>
      </c>
      <c r="C52" s="130">
        <f>3483062.5</f>
        <v>3483062.5</v>
      </c>
      <c r="D52" s="131">
        <f>2483607.1</f>
        <v>2483607.1</v>
      </c>
      <c r="E52" s="130">
        <f>3853626.2</f>
        <v>3853626.2</v>
      </c>
      <c r="F52" s="132">
        <f>2853252</f>
        <v>2853252</v>
      </c>
    </row>
    <row r="53" spans="1:6">
      <c r="A53" s="148"/>
      <c r="B53" s="149">
        <v>2014</v>
      </c>
      <c r="C53" s="130">
        <f>3621848</f>
        <v>3621848</v>
      </c>
      <c r="D53" s="131">
        <f>2420618.5</f>
        <v>2420618.5</v>
      </c>
      <c r="E53" s="130">
        <f>3773715.3</f>
        <v>3773715.3</v>
      </c>
      <c r="F53" s="132">
        <f>2701216.2</f>
        <v>2701216.2</v>
      </c>
    </row>
    <row r="54" spans="1:6">
      <c r="A54" s="148"/>
      <c r="B54" s="149">
        <v>2015</v>
      </c>
      <c r="C54" s="153">
        <v>3408209.7</v>
      </c>
      <c r="D54" s="156">
        <v>2523159.6</v>
      </c>
      <c r="E54" s="157">
        <v>3501167.1</v>
      </c>
      <c r="F54" s="153">
        <v>2557468</v>
      </c>
    </row>
    <row r="55" spans="1:6">
      <c r="A55" s="148"/>
      <c r="B55" s="149">
        <v>2016</v>
      </c>
      <c r="C55" s="153">
        <v>2868623</v>
      </c>
      <c r="D55" s="156">
        <v>2332981</v>
      </c>
      <c r="E55" s="150">
        <f>3041300.7</f>
        <v>3041300.7</v>
      </c>
      <c r="F55" s="153">
        <v>2476148.2999999998</v>
      </c>
    </row>
    <row r="56" spans="1:6">
      <c r="A56" s="148"/>
      <c r="B56" s="149">
        <v>2017</v>
      </c>
      <c r="C56" s="132">
        <f>3367780.3</f>
        <v>3367780.3</v>
      </c>
      <c r="D56" s="131">
        <f>2657295.1</f>
        <v>2657295.1</v>
      </c>
      <c r="E56" s="150">
        <f>3314830.8</f>
        <v>3314830.8</v>
      </c>
      <c r="F56" s="132">
        <f>2613806</f>
        <v>2613806</v>
      </c>
    </row>
    <row r="57" spans="1:6">
      <c r="A57" s="148" t="s">
        <v>138</v>
      </c>
      <c r="B57" s="149">
        <v>2013</v>
      </c>
      <c r="C57" s="130">
        <f>1990162.2</f>
        <v>1990162.2</v>
      </c>
      <c r="D57" s="131">
        <f>1546235.1</f>
        <v>1546235.1</v>
      </c>
      <c r="E57" s="130">
        <f>1892667.7</f>
        <v>1892667.7</v>
      </c>
      <c r="F57" s="132">
        <f>1446997.4</f>
        <v>1446997.4</v>
      </c>
    </row>
    <row r="58" spans="1:6">
      <c r="A58" s="143"/>
      <c r="B58" s="149">
        <v>2014</v>
      </c>
      <c r="C58" s="153">
        <v>2200443.2999999998</v>
      </c>
      <c r="D58" s="156">
        <v>1878612.1</v>
      </c>
      <c r="E58" s="130">
        <f>2333490.8</f>
        <v>2333490.7999999998</v>
      </c>
      <c r="F58" s="132">
        <f>1987919.1</f>
        <v>1987919.1</v>
      </c>
    </row>
    <row r="59" spans="1:6">
      <c r="A59" s="143"/>
      <c r="B59" s="149">
        <v>2015</v>
      </c>
      <c r="C59" s="153">
        <v>2222841.1</v>
      </c>
      <c r="D59" s="156">
        <v>1828074</v>
      </c>
      <c r="E59" s="157">
        <v>2283213.5</v>
      </c>
      <c r="F59" s="153">
        <v>1863988.9</v>
      </c>
    </row>
    <row r="60" spans="1:6">
      <c r="A60" s="143"/>
      <c r="B60" s="149">
        <v>2016</v>
      </c>
      <c r="C60" s="153">
        <v>1933151.7</v>
      </c>
      <c r="D60" s="156">
        <v>1559922.5</v>
      </c>
      <c r="E60" s="157">
        <v>1544658.8</v>
      </c>
      <c r="F60" s="153">
        <v>1243208.6000000001</v>
      </c>
    </row>
    <row r="61" spans="1:6">
      <c r="A61" s="143"/>
      <c r="B61" s="149">
        <v>2017</v>
      </c>
      <c r="C61" s="132">
        <f>2404095.4</f>
        <v>2404095.4</v>
      </c>
      <c r="D61" s="131">
        <f>1987371.2</f>
        <v>1987371.2</v>
      </c>
      <c r="E61" s="150">
        <f>2414254</f>
        <v>2414254</v>
      </c>
      <c r="F61" s="132">
        <f>1936820.3</f>
        <v>1936820.3</v>
      </c>
    </row>
    <row r="62" spans="1:6">
      <c r="A62" s="148" t="s">
        <v>139</v>
      </c>
      <c r="B62" s="149">
        <v>2013</v>
      </c>
      <c r="C62" s="130">
        <f>5390241.1</f>
        <v>5390241.0999999996</v>
      </c>
      <c r="D62" s="131">
        <f>3548551.2</f>
        <v>3548551.2</v>
      </c>
      <c r="E62" s="130">
        <f>6748483.7</f>
        <v>6748483.7000000002</v>
      </c>
      <c r="F62" s="132">
        <f>4945268.7</f>
        <v>4945268.7</v>
      </c>
    </row>
    <row r="63" spans="1:6">
      <c r="A63" s="143"/>
      <c r="B63" s="149">
        <v>2014</v>
      </c>
      <c r="C63" s="153">
        <v>5162936.2</v>
      </c>
      <c r="D63" s="156">
        <v>3459319.4</v>
      </c>
      <c r="E63" s="130">
        <f>5693634.6</f>
        <v>5693634.5999999996</v>
      </c>
      <c r="F63" s="132">
        <f>4002528.3</f>
        <v>4002528.3</v>
      </c>
    </row>
    <row r="64" spans="1:6">
      <c r="A64" s="143"/>
      <c r="B64" s="149">
        <v>2015</v>
      </c>
      <c r="C64" s="153">
        <v>5707196.7000000002</v>
      </c>
      <c r="D64" s="156">
        <v>3736586.8</v>
      </c>
      <c r="E64" s="157">
        <v>6610011.4000000004</v>
      </c>
      <c r="F64" s="153">
        <v>4613266.9000000004</v>
      </c>
    </row>
    <row r="65" spans="1:6">
      <c r="A65" s="143"/>
      <c r="B65" s="149">
        <v>2016</v>
      </c>
      <c r="C65" s="153">
        <v>4958886.4000000004</v>
      </c>
      <c r="D65" s="156">
        <v>3772609.6</v>
      </c>
      <c r="E65" s="157">
        <v>5412087.5999999996</v>
      </c>
      <c r="F65" s="153">
        <v>4299386.5999999996</v>
      </c>
    </row>
    <row r="66" spans="1:6">
      <c r="A66" s="143"/>
      <c r="B66" s="149">
        <v>2017</v>
      </c>
      <c r="C66" s="132">
        <f>5589826.5</f>
        <v>5589826.5</v>
      </c>
      <c r="D66" s="131">
        <f>4212052</f>
        <v>4212052</v>
      </c>
      <c r="E66" s="150">
        <f>6115789.4</f>
        <v>6115789.4000000004</v>
      </c>
      <c r="F66" s="132">
        <f>4739044.4</f>
        <v>4739044.4000000004</v>
      </c>
    </row>
    <row r="67" spans="1:6">
      <c r="A67" s="148" t="s">
        <v>140</v>
      </c>
      <c r="B67" s="149">
        <v>2013</v>
      </c>
      <c r="C67" s="130">
        <f>10647232.4</f>
        <v>10647232.4</v>
      </c>
      <c r="D67" s="131">
        <f>6092127.5</f>
        <v>6092127.5</v>
      </c>
      <c r="E67" s="130">
        <f>10596131.1</f>
        <v>10596131.1</v>
      </c>
      <c r="F67" s="132">
        <f>6236138.5</f>
        <v>6236138.5</v>
      </c>
    </row>
    <row r="68" spans="1:6">
      <c r="A68" s="143"/>
      <c r="B68" s="149">
        <v>2014</v>
      </c>
      <c r="C68" s="153">
        <v>10718920</v>
      </c>
      <c r="D68" s="156">
        <v>5819632.4000000004</v>
      </c>
      <c r="E68" s="130">
        <f>10492378.6</f>
        <v>10492378.6</v>
      </c>
      <c r="F68" s="132">
        <f>6206172.6</f>
        <v>6206172.5999999996</v>
      </c>
    </row>
    <row r="69" spans="1:6">
      <c r="A69" s="143"/>
      <c r="B69" s="149">
        <v>2015</v>
      </c>
      <c r="C69" s="153">
        <v>10421159.1</v>
      </c>
      <c r="D69" s="156">
        <v>5611556.4000000004</v>
      </c>
      <c r="E69" s="157">
        <v>10188734.800000001</v>
      </c>
      <c r="F69" s="153">
        <v>6001063.2999999998</v>
      </c>
    </row>
    <row r="70" spans="1:6">
      <c r="A70" s="143"/>
      <c r="B70" s="149">
        <v>2016</v>
      </c>
      <c r="C70" s="153">
        <v>9183785.6999999993</v>
      </c>
      <c r="D70" s="156">
        <v>5354356.4000000004</v>
      </c>
      <c r="E70" s="150">
        <f>9047794</f>
        <v>9047794</v>
      </c>
      <c r="F70" s="132">
        <f>5637605.9</f>
        <v>5637605.9000000004</v>
      </c>
    </row>
    <row r="71" spans="1:6">
      <c r="A71" s="143"/>
      <c r="B71" s="149">
        <v>2017</v>
      </c>
      <c r="C71" s="132">
        <v>9902665.3000000007</v>
      </c>
      <c r="D71" s="131">
        <v>6098214.5999999996</v>
      </c>
      <c r="E71" s="150">
        <f>9549187.1</f>
        <v>9549187.0999999996</v>
      </c>
      <c r="F71" s="132">
        <f>5999257.7</f>
        <v>5999257.7000000002</v>
      </c>
    </row>
    <row r="72" spans="1:6">
      <c r="A72" s="148" t="s">
        <v>141</v>
      </c>
      <c r="B72" s="149">
        <v>2013</v>
      </c>
      <c r="C72" s="130">
        <f>2188962.9</f>
        <v>2188962.9</v>
      </c>
      <c r="D72" s="131">
        <f>1759804.9</f>
        <v>1759804.9</v>
      </c>
      <c r="E72" s="130">
        <v>2100832.7999999998</v>
      </c>
      <c r="F72" s="130">
        <v>1683501.3</v>
      </c>
    </row>
    <row r="73" spans="1:6">
      <c r="A73" s="143"/>
      <c r="B73" s="149">
        <v>2014</v>
      </c>
      <c r="C73" s="153">
        <v>2202888.4</v>
      </c>
      <c r="D73" s="156">
        <v>1702012.6</v>
      </c>
      <c r="E73" s="130">
        <f>1851707.5</f>
        <v>1851707.5</v>
      </c>
      <c r="F73" s="132">
        <f>1375423.6</f>
        <v>1375423.6</v>
      </c>
    </row>
    <row r="74" spans="1:6">
      <c r="A74" s="143"/>
      <c r="B74" s="149">
        <v>2015</v>
      </c>
      <c r="C74" s="153">
        <v>2050458.3</v>
      </c>
      <c r="D74" s="156">
        <v>1414906</v>
      </c>
      <c r="E74" s="157">
        <v>1680107.3</v>
      </c>
      <c r="F74" s="153">
        <v>1196074.3999999999</v>
      </c>
    </row>
    <row r="75" spans="1:6">
      <c r="A75" s="143"/>
      <c r="B75" s="149">
        <v>2016</v>
      </c>
      <c r="C75" s="156">
        <v>2026346</v>
      </c>
      <c r="D75" s="160">
        <v>1457954</v>
      </c>
      <c r="E75" s="157">
        <v>1520471.4</v>
      </c>
      <c r="F75" s="153">
        <v>1054885.3999999999</v>
      </c>
    </row>
    <row r="76" spans="1:6">
      <c r="A76" s="143"/>
      <c r="B76" s="149">
        <v>2017</v>
      </c>
      <c r="C76" s="131">
        <f>2049130.5</f>
        <v>2049130.5</v>
      </c>
      <c r="D76" s="161">
        <f>1741353.9</f>
        <v>1741353.9</v>
      </c>
      <c r="E76" s="150">
        <f>1708968.6</f>
        <v>1708968.6</v>
      </c>
      <c r="F76" s="132">
        <f>1404233.1</f>
        <v>1404233.1</v>
      </c>
    </row>
    <row r="77" spans="1:6">
      <c r="A77" s="148" t="s">
        <v>142</v>
      </c>
      <c r="B77" s="149">
        <v>2013</v>
      </c>
      <c r="C77" s="131">
        <f>1957596.9</f>
        <v>1957596.9</v>
      </c>
      <c r="D77" s="161">
        <f>1193965.8</f>
        <v>1193965.8</v>
      </c>
      <c r="E77" s="130">
        <f>2567378.6</f>
        <v>2567378.6</v>
      </c>
      <c r="F77" s="132">
        <f>1628640</f>
        <v>1628640</v>
      </c>
    </row>
    <row r="78" spans="1:6">
      <c r="A78" s="143"/>
      <c r="B78" s="149">
        <v>2014</v>
      </c>
      <c r="C78" s="156">
        <v>1876548.9</v>
      </c>
      <c r="D78" s="161">
        <f>1087228.5</f>
        <v>1087228.5</v>
      </c>
      <c r="E78" s="130">
        <f>2707373.9</f>
        <v>2707373.9</v>
      </c>
      <c r="F78" s="132">
        <f>1821067.1</f>
        <v>1821067.1</v>
      </c>
    </row>
    <row r="79" spans="1:6">
      <c r="A79" s="143"/>
      <c r="B79" s="149">
        <v>2015</v>
      </c>
      <c r="C79" s="156">
        <v>2175447.7000000002</v>
      </c>
      <c r="D79" s="160">
        <v>1139080</v>
      </c>
      <c r="E79" s="157">
        <v>2716914.1</v>
      </c>
      <c r="F79" s="153">
        <v>1961811.8</v>
      </c>
    </row>
    <row r="80" spans="1:6">
      <c r="A80" s="143"/>
      <c r="B80" s="149">
        <v>2016</v>
      </c>
      <c r="C80" s="156">
        <v>1697690.1</v>
      </c>
      <c r="D80" s="160">
        <v>1206624.7</v>
      </c>
      <c r="E80" s="157">
        <v>2589253.7999999998</v>
      </c>
      <c r="F80" s="153">
        <v>2047015.6</v>
      </c>
    </row>
    <row r="81" spans="1:6">
      <c r="A81" s="143"/>
      <c r="B81" s="149">
        <v>2017</v>
      </c>
      <c r="C81" s="153">
        <v>1965348.8</v>
      </c>
      <c r="D81" s="156">
        <v>1435105.9</v>
      </c>
      <c r="E81" s="150">
        <f>2760488.8</f>
        <v>2760488.8</v>
      </c>
      <c r="F81" s="132">
        <f>2256935.1</f>
        <v>2256935.1</v>
      </c>
    </row>
    <row r="82" spans="1:6">
      <c r="A82" s="148" t="s">
        <v>143</v>
      </c>
      <c r="B82" s="149">
        <v>2013</v>
      </c>
      <c r="C82" s="130">
        <f>8440887</f>
        <v>8440887</v>
      </c>
      <c r="D82" s="131">
        <f>5758885.5</f>
        <v>5758885.5</v>
      </c>
      <c r="E82" s="130">
        <f>7908893.7</f>
        <v>7908893.7000000002</v>
      </c>
      <c r="F82" s="132">
        <f>5587202.3</f>
        <v>5587202.2999999998</v>
      </c>
    </row>
    <row r="83" spans="1:6">
      <c r="A83" s="143"/>
      <c r="B83" s="149">
        <v>2014</v>
      </c>
      <c r="C83" s="153">
        <v>8241526.7000000002</v>
      </c>
      <c r="D83" s="156">
        <v>6506058.4000000004</v>
      </c>
      <c r="E83" s="130">
        <f>7308844.3</f>
        <v>7308844.2999999998</v>
      </c>
      <c r="F83" s="132">
        <f>5760116.8</f>
        <v>5760116.7999999998</v>
      </c>
    </row>
    <row r="84" spans="1:6">
      <c r="A84" s="143"/>
      <c r="B84" s="149">
        <v>2015</v>
      </c>
      <c r="C84" s="153">
        <v>9167019.9000000004</v>
      </c>
      <c r="D84" s="156">
        <v>6619245.2999999998</v>
      </c>
      <c r="E84" s="157">
        <v>8147073.5</v>
      </c>
      <c r="F84" s="153">
        <v>5888881.9000000004</v>
      </c>
    </row>
    <row r="85" spans="1:6">
      <c r="A85" s="143"/>
      <c r="B85" s="149">
        <v>2016</v>
      </c>
      <c r="C85" s="153">
        <v>7495730</v>
      </c>
      <c r="D85" s="156">
        <v>5728717.2999999998</v>
      </c>
      <c r="E85" s="157">
        <v>7571140.9000000004</v>
      </c>
      <c r="F85" s="153">
        <v>5972647.0999999996</v>
      </c>
    </row>
    <row r="86" spans="1:6">
      <c r="A86" s="143"/>
      <c r="B86" s="149">
        <v>2017</v>
      </c>
      <c r="C86" s="132">
        <v>8427920</v>
      </c>
      <c r="D86" s="131">
        <v>6465380</v>
      </c>
      <c r="E86" s="150">
        <f>8419969.6</f>
        <v>8419969.5999999996</v>
      </c>
      <c r="F86" s="132">
        <f>6532457</f>
        <v>6532457</v>
      </c>
    </row>
    <row r="87" spans="1:6">
      <c r="A87" s="148" t="s">
        <v>144</v>
      </c>
      <c r="B87" s="149">
        <v>2013</v>
      </c>
      <c r="C87" s="130">
        <f>2676681.6</f>
        <v>2676681.6</v>
      </c>
      <c r="D87" s="131">
        <f>2414003</f>
        <v>2414003</v>
      </c>
      <c r="E87" s="130">
        <f>3215854.8</f>
        <v>3215854.8</v>
      </c>
      <c r="F87" s="132">
        <f>2722917.8</f>
        <v>2722917.8</v>
      </c>
    </row>
    <row r="88" spans="1:6">
      <c r="A88" s="143"/>
      <c r="B88" s="149">
        <v>2014</v>
      </c>
      <c r="C88" s="153">
        <v>2907402.5</v>
      </c>
      <c r="D88" s="156">
        <v>2676399.1</v>
      </c>
      <c r="E88" s="130">
        <f>3462521</f>
        <v>3462521</v>
      </c>
      <c r="F88" s="132">
        <f>3009870.7</f>
        <v>3009870.7</v>
      </c>
    </row>
    <row r="89" spans="1:6">
      <c r="A89" s="162"/>
      <c r="B89" s="149">
        <v>2015</v>
      </c>
      <c r="C89" s="153">
        <v>3445215.5</v>
      </c>
      <c r="D89" s="156">
        <v>3236893</v>
      </c>
      <c r="E89" s="157">
        <v>3814007.8</v>
      </c>
      <c r="F89" s="153">
        <v>3301214</v>
      </c>
    </row>
    <row r="90" spans="1:6">
      <c r="A90" s="162"/>
      <c r="B90" s="149">
        <v>2016</v>
      </c>
      <c r="C90" s="153">
        <v>2271022.7999999998</v>
      </c>
      <c r="D90" s="156">
        <v>1929513.9</v>
      </c>
      <c r="E90" s="157">
        <v>2894450.2</v>
      </c>
      <c r="F90" s="153">
        <v>2374093.2000000002</v>
      </c>
    </row>
    <row r="91" spans="1:6">
      <c r="A91" s="162"/>
      <c r="B91" s="149">
        <v>2017</v>
      </c>
      <c r="C91" s="132">
        <v>2596977.5</v>
      </c>
      <c r="D91" s="131">
        <v>2227097</v>
      </c>
      <c r="E91" s="150">
        <f>3955304.3</f>
        <v>3955304.3</v>
      </c>
      <c r="F91" s="159">
        <f>3464769.2</f>
        <v>3464769.2</v>
      </c>
    </row>
  </sheetData>
  <mergeCells count="6">
    <mergeCell ref="A2:F2"/>
    <mergeCell ref="A4:B6"/>
    <mergeCell ref="C4:D4"/>
    <mergeCell ref="E4:F4"/>
    <mergeCell ref="C6:F6"/>
    <mergeCell ref="A3:F3"/>
  </mergeCells>
  <pageMargins left="0.70866141732283472" right="0.70866141732283472" top="0.74803149606299213" bottom="0.74803149606299213" header="0.31496062992125984" footer="0.31496062992125984"/>
  <pageSetup paperSize="9" scale="91" orientation="landscape" r:id="rId1"/>
  <rowBreaks count="3" manualBreakCount="3">
    <brk id="26" max="16383" man="1"/>
    <brk id="51" max="16383" man="1"/>
    <brk id="7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2"/>
  <sheetViews>
    <sheetView zoomScaleNormal="100" workbookViewId="0">
      <pane ySplit="6" topLeftCell="A7" activePane="bottomLeft" state="frozen"/>
      <selection pane="bottomLeft"/>
    </sheetView>
  </sheetViews>
  <sheetFormatPr defaultColWidth="9.140625" defaultRowHeight="12.75"/>
  <cols>
    <col min="1" max="1" width="54.28515625" style="70" customWidth="1"/>
    <col min="2" max="11" width="13.85546875" style="70" customWidth="1"/>
    <col min="12" max="16384" width="9.140625" style="70"/>
  </cols>
  <sheetData>
    <row r="2" spans="1:12" s="78" customFormat="1" ht="30" customHeight="1">
      <c r="A2" s="471" t="s">
        <v>355</v>
      </c>
      <c r="B2" s="471"/>
      <c r="C2" s="471"/>
      <c r="D2" s="471"/>
      <c r="E2" s="471"/>
      <c r="F2" s="471"/>
      <c r="G2" s="471"/>
      <c r="H2" s="471"/>
      <c r="I2" s="471"/>
      <c r="J2" s="471"/>
      <c r="K2" s="471"/>
    </row>
    <row r="3" spans="1:12" ht="27.75" customHeight="1">
      <c r="A3" s="472" t="s">
        <v>249</v>
      </c>
      <c r="B3" s="464"/>
      <c r="C3" s="464"/>
      <c r="D3" s="464"/>
      <c r="E3" s="464"/>
      <c r="F3" s="464"/>
      <c r="G3" s="464"/>
      <c r="H3" s="464"/>
      <c r="I3" s="464"/>
      <c r="J3" s="464"/>
      <c r="K3" s="464"/>
    </row>
    <row r="4" spans="1:12" ht="27" customHeight="1">
      <c r="A4" s="454" t="s">
        <v>282</v>
      </c>
      <c r="B4" s="465" t="s">
        <v>283</v>
      </c>
      <c r="C4" s="465"/>
      <c r="D4" s="465"/>
      <c r="E4" s="466"/>
      <c r="F4" s="467"/>
      <c r="G4" s="468" t="s">
        <v>306</v>
      </c>
      <c r="H4" s="465"/>
      <c r="I4" s="465"/>
      <c r="J4" s="405"/>
      <c r="K4" s="405"/>
    </row>
    <row r="5" spans="1:12" ht="19.5" customHeight="1">
      <c r="A5" s="456"/>
      <c r="B5" s="163">
        <v>2013</v>
      </c>
      <c r="C5" s="163">
        <v>2014</v>
      </c>
      <c r="D5" s="163">
        <v>2015</v>
      </c>
      <c r="E5" s="163">
        <v>2016</v>
      </c>
      <c r="F5" s="163">
        <v>2017</v>
      </c>
      <c r="G5" s="163">
        <v>2013</v>
      </c>
      <c r="H5" s="163">
        <v>2014</v>
      </c>
      <c r="I5" s="163">
        <v>2015</v>
      </c>
      <c r="J5" s="163">
        <v>2016</v>
      </c>
      <c r="K5" s="356">
        <v>2017</v>
      </c>
      <c r="L5" s="78"/>
    </row>
    <row r="6" spans="1:12" ht="30" customHeight="1" thickBot="1">
      <c r="A6" s="458"/>
      <c r="B6" s="469" t="s">
        <v>300</v>
      </c>
      <c r="C6" s="470"/>
      <c r="D6" s="470"/>
      <c r="E6" s="470"/>
      <c r="F6" s="470"/>
      <c r="G6" s="470"/>
      <c r="H6" s="470"/>
      <c r="I6" s="470"/>
      <c r="J6" s="470"/>
      <c r="K6" s="470"/>
    </row>
    <row r="7" spans="1:12" ht="21.75" customHeight="1">
      <c r="A7" s="164" t="s">
        <v>23</v>
      </c>
      <c r="B7" s="145">
        <v>84803627.299999997</v>
      </c>
      <c r="C7" s="355">
        <v>88335585</v>
      </c>
      <c r="D7" s="146">
        <v>88637432.400000006</v>
      </c>
      <c r="E7" s="145">
        <v>77096295.799999997</v>
      </c>
      <c r="F7" s="165">
        <v>86619605.799999997</v>
      </c>
      <c r="G7" s="146">
        <v>59970224.299999997</v>
      </c>
      <c r="H7" s="145">
        <v>63951310</v>
      </c>
      <c r="I7" s="146">
        <v>63913479.200000003</v>
      </c>
      <c r="J7" s="147">
        <v>58417138</v>
      </c>
      <c r="K7" s="147">
        <v>66134607.100000001</v>
      </c>
    </row>
    <row r="8" spans="1:12">
      <c r="A8" s="13" t="s">
        <v>24</v>
      </c>
      <c r="B8" s="145"/>
      <c r="C8" s="146"/>
      <c r="D8" s="145"/>
      <c r="E8" s="146"/>
      <c r="F8" s="165"/>
      <c r="G8" s="145"/>
      <c r="H8" s="146"/>
      <c r="I8" s="145"/>
      <c r="J8" s="146"/>
      <c r="K8" s="147"/>
    </row>
    <row r="9" spans="1:12" ht="21" customHeight="1">
      <c r="A9" s="166" t="s">
        <v>206</v>
      </c>
      <c r="B9" s="145">
        <f>B11+B19</f>
        <v>39863937.600000001</v>
      </c>
      <c r="C9" s="146">
        <f t="shared" ref="C9:K9" si="0">C11+C19</f>
        <v>39317180.200000003</v>
      </c>
      <c r="D9" s="145">
        <f t="shared" si="0"/>
        <v>41740073.799999997</v>
      </c>
      <c r="E9" s="146">
        <f t="shared" si="0"/>
        <v>39335031.700000003</v>
      </c>
      <c r="F9" s="145">
        <f t="shared" si="0"/>
        <v>43808654.899999999</v>
      </c>
      <c r="G9" s="145">
        <f t="shared" si="0"/>
        <v>27427125.300000001</v>
      </c>
      <c r="H9" s="146">
        <f t="shared" si="0"/>
        <v>27989695.600000001</v>
      </c>
      <c r="I9" s="145">
        <f t="shared" si="0"/>
        <v>29811678.100000001</v>
      </c>
      <c r="J9" s="146">
        <f t="shared" si="0"/>
        <v>30169348</v>
      </c>
      <c r="K9" s="147">
        <f t="shared" si="0"/>
        <v>33647276.100000001</v>
      </c>
    </row>
    <row r="10" spans="1:12">
      <c r="A10" s="167" t="s">
        <v>208</v>
      </c>
      <c r="B10" s="145"/>
      <c r="C10" s="146"/>
      <c r="D10" s="145"/>
      <c r="E10" s="146"/>
      <c r="F10" s="145"/>
      <c r="G10" s="145"/>
      <c r="H10" s="146"/>
      <c r="I10" s="145"/>
      <c r="J10" s="146"/>
      <c r="K10" s="147"/>
    </row>
    <row r="11" spans="1:12">
      <c r="A11" s="168" t="s">
        <v>58</v>
      </c>
      <c r="B11" s="145">
        <v>11323145</v>
      </c>
      <c r="C11" s="146">
        <v>10565433.6</v>
      </c>
      <c r="D11" s="145">
        <v>11940746.699999999</v>
      </c>
      <c r="E11" s="146">
        <v>13028587.800000001</v>
      </c>
      <c r="F11" s="5">
        <v>14705716.9</v>
      </c>
      <c r="G11" s="145">
        <v>7455222</v>
      </c>
      <c r="H11" s="146">
        <v>7126645.5</v>
      </c>
      <c r="I11" s="145">
        <v>8559446.0999999996</v>
      </c>
      <c r="J11" s="146">
        <v>10145542.6</v>
      </c>
      <c r="K11" s="7">
        <v>11566641.800000001</v>
      </c>
    </row>
    <row r="12" spans="1:12">
      <c r="A12" s="169" t="s">
        <v>207</v>
      </c>
      <c r="B12" s="145"/>
      <c r="C12" s="146"/>
      <c r="D12" s="145"/>
      <c r="E12" s="146"/>
      <c r="F12" s="5"/>
      <c r="G12" s="145"/>
      <c r="H12" s="146"/>
      <c r="I12" s="145"/>
      <c r="J12" s="146"/>
      <c r="K12" s="7"/>
    </row>
    <row r="13" spans="1:12">
      <c r="A13" s="170" t="s">
        <v>59</v>
      </c>
      <c r="B13" s="131">
        <v>1643836.4</v>
      </c>
      <c r="C13" s="150">
        <v>1563673.1</v>
      </c>
      <c r="D13" s="131">
        <v>1612660.3</v>
      </c>
      <c r="E13" s="161">
        <v>1663940.7</v>
      </c>
      <c r="F13" s="26">
        <v>2169563.4</v>
      </c>
      <c r="G13" s="131">
        <v>874785.2</v>
      </c>
      <c r="H13" s="161">
        <v>923839.3</v>
      </c>
      <c r="I13" s="161">
        <v>1013858.7</v>
      </c>
      <c r="J13" s="150">
        <v>1137597.2</v>
      </c>
      <c r="K13" s="132">
        <v>1506276.4</v>
      </c>
    </row>
    <row r="14" spans="1:12">
      <c r="A14" s="172" t="s">
        <v>209</v>
      </c>
      <c r="B14" s="131"/>
      <c r="C14" s="150"/>
      <c r="D14" s="150"/>
      <c r="E14" s="161"/>
      <c r="F14" s="26"/>
      <c r="G14" s="131"/>
      <c r="H14" s="161"/>
      <c r="I14" s="161"/>
      <c r="J14" s="150"/>
      <c r="K14" s="132"/>
    </row>
    <row r="15" spans="1:12">
      <c r="A15" s="170" t="s">
        <v>198</v>
      </c>
      <c r="B15" s="131">
        <v>7764557.4000000004</v>
      </c>
      <c r="C15" s="161">
        <v>7353838.9000000004</v>
      </c>
      <c r="D15" s="150">
        <v>9601530.5</v>
      </c>
      <c r="E15" s="131">
        <v>10728948.6</v>
      </c>
      <c r="F15" s="174">
        <v>11131353.300000001</v>
      </c>
      <c r="G15" s="131">
        <v>5504524.5999999996</v>
      </c>
      <c r="H15" s="161">
        <v>5302399.9000000004</v>
      </c>
      <c r="I15" s="161">
        <v>7265434.2999999998</v>
      </c>
      <c r="J15" s="150">
        <v>8672523.4000000004</v>
      </c>
      <c r="K15" s="132">
        <v>9131150.8000000007</v>
      </c>
    </row>
    <row r="16" spans="1:12">
      <c r="A16" s="175" t="s">
        <v>210</v>
      </c>
      <c r="B16" s="131"/>
      <c r="C16" s="161"/>
      <c r="D16" s="150"/>
      <c r="E16" s="131"/>
      <c r="F16" s="174"/>
      <c r="G16" s="150"/>
      <c r="H16" s="161"/>
      <c r="I16" s="161"/>
      <c r="J16" s="150"/>
      <c r="K16" s="132"/>
    </row>
    <row r="17" spans="1:11">
      <c r="A17" s="170" t="s">
        <v>60</v>
      </c>
      <c r="B17" s="131">
        <v>1914751.2</v>
      </c>
      <c r="C17" s="161">
        <v>1647921.6</v>
      </c>
      <c r="D17" s="150">
        <v>726555.9</v>
      </c>
      <c r="E17" s="131">
        <v>635698.5</v>
      </c>
      <c r="F17" s="26">
        <v>1404800.2</v>
      </c>
      <c r="G17" s="150">
        <v>1075912.2</v>
      </c>
      <c r="H17" s="131">
        <v>900406.3</v>
      </c>
      <c r="I17" s="161">
        <v>280153.09999999998</v>
      </c>
      <c r="J17" s="150">
        <v>335422</v>
      </c>
      <c r="K17" s="132">
        <v>929214.6</v>
      </c>
    </row>
    <row r="18" spans="1:11">
      <c r="A18" s="172" t="s">
        <v>211</v>
      </c>
      <c r="B18" s="131"/>
      <c r="C18" s="161"/>
      <c r="D18" s="150"/>
      <c r="E18" s="131"/>
      <c r="F18" s="26"/>
      <c r="G18" s="150"/>
      <c r="H18" s="131"/>
      <c r="I18" s="150"/>
      <c r="J18" s="150"/>
      <c r="K18" s="132"/>
    </row>
    <row r="19" spans="1:11">
      <c r="A19" s="168" t="s">
        <v>61</v>
      </c>
      <c r="B19" s="145">
        <v>28540792.600000001</v>
      </c>
      <c r="C19" s="355">
        <v>28751746.600000001</v>
      </c>
      <c r="D19" s="146">
        <v>29799327.100000001</v>
      </c>
      <c r="E19" s="145">
        <v>26306443.899999999</v>
      </c>
      <c r="F19" s="5">
        <v>29102938</v>
      </c>
      <c r="G19" s="146">
        <v>19971903.300000001</v>
      </c>
      <c r="H19" s="145">
        <v>20863050.100000001</v>
      </c>
      <c r="I19" s="146">
        <v>21252232</v>
      </c>
      <c r="J19" s="147">
        <v>20023805.399999999</v>
      </c>
      <c r="K19" s="7">
        <v>22080634.300000001</v>
      </c>
    </row>
    <row r="20" spans="1:11">
      <c r="A20" s="169" t="s">
        <v>212</v>
      </c>
      <c r="B20" s="145"/>
      <c r="C20" s="355"/>
      <c r="D20" s="146"/>
      <c r="E20" s="145"/>
      <c r="F20" s="5"/>
      <c r="G20" s="146"/>
      <c r="H20" s="145"/>
      <c r="I20" s="146"/>
      <c r="J20" s="147"/>
      <c r="K20" s="7"/>
    </row>
    <row r="21" spans="1:11">
      <c r="A21" s="170" t="s">
        <v>193</v>
      </c>
      <c r="B21" s="131">
        <v>962602.9</v>
      </c>
      <c r="C21" s="161">
        <v>740955</v>
      </c>
      <c r="D21" s="150">
        <v>745019.1</v>
      </c>
      <c r="E21" s="131">
        <v>779968.2</v>
      </c>
      <c r="F21" s="174">
        <v>1132319.2</v>
      </c>
      <c r="G21" s="150">
        <v>746939.1</v>
      </c>
      <c r="H21" s="131">
        <v>539976.9</v>
      </c>
      <c r="I21" s="150">
        <v>565270.80000000005</v>
      </c>
      <c r="J21" s="132">
        <v>638115.19999999995</v>
      </c>
      <c r="K21" s="132">
        <v>953871.9</v>
      </c>
    </row>
    <row r="22" spans="1:11">
      <c r="A22" s="176" t="s">
        <v>213</v>
      </c>
      <c r="B22" s="131"/>
      <c r="C22" s="161"/>
      <c r="D22" s="150"/>
      <c r="E22" s="131"/>
      <c r="F22" s="174"/>
      <c r="G22" s="150"/>
      <c r="H22" s="131"/>
      <c r="I22" s="150"/>
      <c r="J22" s="132"/>
      <c r="K22" s="132"/>
    </row>
    <row r="23" spans="1:11">
      <c r="A23" s="170" t="s">
        <v>62</v>
      </c>
      <c r="B23" s="131">
        <v>3303758.8</v>
      </c>
      <c r="C23" s="161">
        <v>3456088.6</v>
      </c>
      <c r="D23" s="150">
        <v>3719226.6</v>
      </c>
      <c r="E23" s="131">
        <v>3442388.8</v>
      </c>
      <c r="F23" s="26">
        <v>3870263.2</v>
      </c>
      <c r="G23" s="150">
        <v>2265269.7000000002</v>
      </c>
      <c r="H23" s="131">
        <v>2472370.2999999998</v>
      </c>
      <c r="I23" s="150">
        <v>2704779.7</v>
      </c>
      <c r="J23" s="132">
        <v>2702990.5</v>
      </c>
      <c r="K23" s="132">
        <v>3169393.2</v>
      </c>
    </row>
    <row r="24" spans="1:11">
      <c r="A24" s="172" t="s">
        <v>214</v>
      </c>
      <c r="B24" s="131"/>
      <c r="C24" s="161"/>
      <c r="D24" s="150"/>
      <c r="E24" s="131"/>
      <c r="F24" s="26"/>
      <c r="G24" s="150"/>
      <c r="H24" s="131"/>
      <c r="I24" s="150"/>
      <c r="J24" s="132"/>
      <c r="K24" s="132"/>
    </row>
    <row r="25" spans="1:11">
      <c r="A25" s="170" t="s">
        <v>63</v>
      </c>
      <c r="B25" s="131">
        <v>6738345.5</v>
      </c>
      <c r="C25" s="161">
        <v>6722599.7999999998</v>
      </c>
      <c r="D25" s="150">
        <v>6676875.2000000002</v>
      </c>
      <c r="E25" s="131">
        <v>6411253.7999999998</v>
      </c>
      <c r="F25" s="26">
        <v>6384130</v>
      </c>
      <c r="G25" s="150">
        <v>4563969.4000000004</v>
      </c>
      <c r="H25" s="131">
        <v>4846431.5999999996</v>
      </c>
      <c r="I25" s="150">
        <v>4689799.0999999996</v>
      </c>
      <c r="J25" s="132">
        <v>4784482.2</v>
      </c>
      <c r="K25" s="132">
        <v>4687670.5999999996</v>
      </c>
    </row>
    <row r="26" spans="1:11">
      <c r="A26" s="172" t="s">
        <v>215</v>
      </c>
      <c r="B26" s="131"/>
      <c r="C26" s="161"/>
      <c r="D26" s="150"/>
      <c r="E26" s="131"/>
      <c r="F26" s="26"/>
      <c r="G26" s="150"/>
      <c r="H26" s="131"/>
      <c r="I26" s="150"/>
      <c r="J26" s="132"/>
      <c r="K26" s="132"/>
    </row>
    <row r="27" spans="1:11">
      <c r="A27" s="170" t="s">
        <v>64</v>
      </c>
      <c r="B27" s="131">
        <v>656271.69999999995</v>
      </c>
      <c r="C27" s="161">
        <v>656570.80000000005</v>
      </c>
      <c r="D27" s="150">
        <v>1020840.9</v>
      </c>
      <c r="E27" s="131">
        <v>527845.80000000005</v>
      </c>
      <c r="F27" s="26">
        <v>299861.90000000002</v>
      </c>
      <c r="G27" s="150">
        <v>456462.5</v>
      </c>
      <c r="H27" s="131">
        <v>468725</v>
      </c>
      <c r="I27" s="150">
        <v>667755.4</v>
      </c>
      <c r="J27" s="132">
        <v>399781.2</v>
      </c>
      <c r="K27" s="132">
        <v>233229.4</v>
      </c>
    </row>
    <row r="28" spans="1:11">
      <c r="A28" s="177" t="s">
        <v>216</v>
      </c>
      <c r="B28" s="131"/>
      <c r="C28" s="161"/>
      <c r="D28" s="150"/>
      <c r="E28" s="131"/>
      <c r="F28" s="26"/>
      <c r="G28" s="150"/>
      <c r="H28" s="131"/>
      <c r="I28" s="150"/>
      <c r="J28" s="132"/>
      <c r="K28" s="132"/>
    </row>
    <row r="29" spans="1:11">
      <c r="A29" s="170" t="s">
        <v>65</v>
      </c>
      <c r="B29" s="131">
        <v>8928078.0999999996</v>
      </c>
      <c r="C29" s="161">
        <v>9948715.9000000004</v>
      </c>
      <c r="D29" s="150">
        <v>11102445.5</v>
      </c>
      <c r="E29" s="131">
        <v>10194626.9</v>
      </c>
      <c r="F29" s="26">
        <v>11560617.1</v>
      </c>
      <c r="G29" s="150">
        <v>6501626.0999999996</v>
      </c>
      <c r="H29" s="131">
        <v>7358079.5</v>
      </c>
      <c r="I29" s="150">
        <v>8161326</v>
      </c>
      <c r="J29" s="132">
        <v>7929333.0999999996</v>
      </c>
      <c r="K29" s="132">
        <v>8746107.4000000004</v>
      </c>
    </row>
    <row r="30" spans="1:11">
      <c r="A30" s="172" t="s">
        <v>217</v>
      </c>
      <c r="B30" s="131"/>
      <c r="C30" s="161"/>
      <c r="D30" s="150"/>
      <c r="E30" s="131"/>
      <c r="F30" s="26"/>
      <c r="G30" s="150"/>
      <c r="H30" s="131"/>
      <c r="I30" s="150"/>
      <c r="J30" s="132"/>
      <c r="K30" s="132"/>
    </row>
    <row r="31" spans="1:11" ht="38.25">
      <c r="A31" s="178" t="s">
        <v>194</v>
      </c>
      <c r="B31" s="131">
        <v>6167886.9000000004</v>
      </c>
      <c r="C31" s="161">
        <v>5775948.5</v>
      </c>
      <c r="D31" s="150">
        <v>4890648.8</v>
      </c>
      <c r="E31" s="131">
        <v>3543789.8</v>
      </c>
      <c r="F31" s="179">
        <v>4331980.5999999996</v>
      </c>
      <c r="G31" s="150">
        <v>4443077.5999999996</v>
      </c>
      <c r="H31" s="131">
        <v>4337403.5</v>
      </c>
      <c r="I31" s="150">
        <v>3492890.8</v>
      </c>
      <c r="J31" s="132">
        <v>2643671.7999999998</v>
      </c>
      <c r="K31" s="132">
        <v>3202750.9</v>
      </c>
    </row>
    <row r="32" spans="1:11" ht="25.5">
      <c r="A32" s="180" t="s">
        <v>218</v>
      </c>
      <c r="B32" s="131"/>
      <c r="C32" s="161"/>
      <c r="D32" s="150"/>
      <c r="E32" s="131"/>
      <c r="F32" s="179"/>
      <c r="G32" s="150"/>
      <c r="H32" s="131"/>
      <c r="I32" s="150"/>
      <c r="J32" s="132"/>
      <c r="K32" s="132"/>
    </row>
    <row r="33" spans="1:11">
      <c r="A33" s="170" t="s">
        <v>66</v>
      </c>
      <c r="B33" s="131">
        <v>1783848.7</v>
      </c>
      <c r="C33" s="161">
        <v>1450868</v>
      </c>
      <c r="D33" s="150">
        <v>1644271</v>
      </c>
      <c r="E33" s="131">
        <v>1406570.6</v>
      </c>
      <c r="F33" s="26">
        <v>1523766</v>
      </c>
      <c r="G33" s="150">
        <v>994558.9</v>
      </c>
      <c r="H33" s="131">
        <v>840063.3</v>
      </c>
      <c r="I33" s="150">
        <v>970410.2</v>
      </c>
      <c r="J33" s="132">
        <v>925431.4</v>
      </c>
      <c r="K33" s="28">
        <v>1087610.8999999999</v>
      </c>
    </row>
    <row r="34" spans="1:11">
      <c r="A34" s="181" t="s">
        <v>229</v>
      </c>
      <c r="B34" s="131"/>
      <c r="C34" s="161"/>
      <c r="D34" s="150"/>
      <c r="E34" s="131"/>
      <c r="F34" s="26"/>
      <c r="G34" s="150"/>
      <c r="H34" s="131"/>
      <c r="I34" s="150"/>
      <c r="J34" s="132"/>
      <c r="K34" s="28"/>
    </row>
    <row r="35" spans="1:11">
      <c r="A35" s="182" t="s">
        <v>67</v>
      </c>
      <c r="B35" s="145">
        <v>44939689.700000003</v>
      </c>
      <c r="C35" s="355">
        <v>49018404.799999997</v>
      </c>
      <c r="D35" s="146">
        <v>46897358.600000001</v>
      </c>
      <c r="E35" s="145">
        <v>37761264.100000001</v>
      </c>
      <c r="F35" s="5">
        <v>42810950.899999999</v>
      </c>
      <c r="G35" s="146">
        <v>32543099</v>
      </c>
      <c r="H35" s="145">
        <v>35961614.399999999</v>
      </c>
      <c r="I35" s="146">
        <v>34101801.100000001</v>
      </c>
      <c r="J35" s="147">
        <v>28247790</v>
      </c>
      <c r="K35" s="22">
        <v>32487331</v>
      </c>
    </row>
    <row r="36" spans="1:11">
      <c r="A36" s="167" t="s">
        <v>26</v>
      </c>
      <c r="B36" s="145"/>
      <c r="C36" s="355"/>
      <c r="D36" s="146"/>
      <c r="E36" s="145"/>
      <c r="F36" s="5"/>
      <c r="G36" s="146"/>
      <c r="H36" s="145"/>
      <c r="I36" s="146"/>
      <c r="J36" s="147"/>
      <c r="K36" s="22"/>
    </row>
    <row r="37" spans="1:11">
      <c r="A37" s="170" t="s">
        <v>195</v>
      </c>
      <c r="B37" s="131">
        <v>16514540.800000001</v>
      </c>
      <c r="C37" s="161">
        <v>16891296.600000001</v>
      </c>
      <c r="D37" s="150">
        <v>15324424.1</v>
      </c>
      <c r="E37" s="131">
        <v>14894105.199999999</v>
      </c>
      <c r="F37" s="26">
        <v>17840170.300000001</v>
      </c>
      <c r="G37" s="150">
        <v>11709820</v>
      </c>
      <c r="H37" s="131">
        <v>12115546.9</v>
      </c>
      <c r="I37" s="150">
        <v>10832560.699999999</v>
      </c>
      <c r="J37" s="132">
        <v>11062987.699999999</v>
      </c>
      <c r="K37" s="132">
        <v>13707426.1</v>
      </c>
    </row>
    <row r="38" spans="1:11">
      <c r="A38" s="175" t="s">
        <v>221</v>
      </c>
      <c r="B38" s="131"/>
      <c r="C38" s="161"/>
      <c r="D38" s="150"/>
      <c r="E38" s="131"/>
      <c r="F38" s="26"/>
      <c r="G38" s="150"/>
      <c r="H38" s="131"/>
      <c r="I38" s="150"/>
      <c r="J38" s="132"/>
      <c r="K38" s="132"/>
    </row>
    <row r="39" spans="1:11">
      <c r="A39" s="170" t="s">
        <v>199</v>
      </c>
      <c r="B39" s="131">
        <v>4041056.7</v>
      </c>
      <c r="C39" s="161">
        <v>6135419.4000000004</v>
      </c>
      <c r="D39" s="150">
        <v>5174329.9000000004</v>
      </c>
      <c r="E39" s="131">
        <v>3379875.6</v>
      </c>
      <c r="F39" s="26">
        <v>4428685</v>
      </c>
      <c r="G39" s="150">
        <v>3077685.2</v>
      </c>
      <c r="H39" s="131">
        <v>4451598.5999999996</v>
      </c>
      <c r="I39" s="150">
        <v>3767933.4</v>
      </c>
      <c r="J39" s="132">
        <v>2506844.2999999998</v>
      </c>
      <c r="K39" s="132">
        <v>3255228.3</v>
      </c>
    </row>
    <row r="40" spans="1:11">
      <c r="A40" s="172" t="s">
        <v>220</v>
      </c>
      <c r="B40" s="131"/>
      <c r="C40" s="161"/>
      <c r="D40" s="150"/>
      <c r="E40" s="131"/>
      <c r="F40" s="26"/>
      <c r="G40" s="150"/>
      <c r="H40" s="131"/>
      <c r="I40" s="150"/>
      <c r="J40" s="132"/>
      <c r="K40" s="132"/>
    </row>
    <row r="41" spans="1:11">
      <c r="A41" s="170" t="s">
        <v>68</v>
      </c>
      <c r="B41" s="131">
        <v>289042</v>
      </c>
      <c r="C41" s="161">
        <v>576721.80000000005</v>
      </c>
      <c r="D41" s="150">
        <v>320242.2</v>
      </c>
      <c r="E41" s="131">
        <v>105430.5</v>
      </c>
      <c r="F41" s="179">
        <v>146479.70000000001</v>
      </c>
      <c r="G41" s="150">
        <v>237596.3</v>
      </c>
      <c r="H41" s="131">
        <v>534069.4</v>
      </c>
      <c r="I41" s="150">
        <v>290310.7</v>
      </c>
      <c r="J41" s="132">
        <v>78337.7</v>
      </c>
      <c r="K41" s="132">
        <v>106466</v>
      </c>
    </row>
    <row r="42" spans="1:11">
      <c r="A42" s="172" t="s">
        <v>222</v>
      </c>
      <c r="B42" s="131"/>
      <c r="C42" s="161"/>
      <c r="D42" s="150"/>
      <c r="E42" s="131"/>
      <c r="F42" s="179"/>
      <c r="G42" s="150"/>
      <c r="H42" s="131"/>
      <c r="I42" s="150"/>
      <c r="J42" s="132"/>
      <c r="K42" s="132"/>
    </row>
    <row r="43" spans="1:11" ht="25.5">
      <c r="A43" s="178" t="s">
        <v>197</v>
      </c>
      <c r="B43" s="131">
        <v>3109566.9</v>
      </c>
      <c r="C43" s="161">
        <v>2588972.5</v>
      </c>
      <c r="D43" s="150">
        <v>2506813.7999999998</v>
      </c>
      <c r="E43" s="131">
        <v>2592441.1</v>
      </c>
      <c r="F43" s="26">
        <v>2678718.5</v>
      </c>
      <c r="G43" s="150">
        <v>2125862.6</v>
      </c>
      <c r="H43" s="131">
        <v>1415899.7</v>
      </c>
      <c r="I43" s="150">
        <v>1562234.4</v>
      </c>
      <c r="J43" s="132">
        <v>1978571.2</v>
      </c>
      <c r="K43" s="132">
        <v>2088111.8</v>
      </c>
    </row>
    <row r="44" spans="1:11">
      <c r="A44" s="180" t="s">
        <v>223</v>
      </c>
      <c r="B44" s="131"/>
      <c r="C44" s="161"/>
      <c r="D44" s="150"/>
      <c r="E44" s="131"/>
      <c r="F44" s="26"/>
      <c r="G44" s="150"/>
      <c r="H44" s="131"/>
      <c r="I44" s="150"/>
      <c r="J44" s="132"/>
      <c r="K44" s="132"/>
    </row>
    <row r="45" spans="1:11">
      <c r="A45" s="178" t="s">
        <v>69</v>
      </c>
      <c r="B45" s="131">
        <v>1578633.2</v>
      </c>
      <c r="C45" s="161">
        <v>2188349.2000000002</v>
      </c>
      <c r="D45" s="150">
        <v>1448051.7</v>
      </c>
      <c r="E45" s="131">
        <v>664136.6</v>
      </c>
      <c r="F45" s="26">
        <v>734217.9</v>
      </c>
      <c r="G45" s="150">
        <v>1278960.1000000001</v>
      </c>
      <c r="H45" s="131">
        <v>1846504.2</v>
      </c>
      <c r="I45" s="150">
        <v>1170082.8</v>
      </c>
      <c r="J45" s="132">
        <v>562060.5</v>
      </c>
      <c r="K45" s="132">
        <v>576056.9</v>
      </c>
    </row>
    <row r="46" spans="1:11">
      <c r="A46" s="183" t="s">
        <v>224</v>
      </c>
      <c r="B46" s="131"/>
      <c r="C46" s="161"/>
      <c r="D46" s="150"/>
      <c r="E46" s="131"/>
      <c r="F46" s="26"/>
      <c r="G46" s="150"/>
      <c r="H46" s="131"/>
      <c r="I46" s="150"/>
      <c r="J46" s="132"/>
      <c r="K46" s="132"/>
    </row>
    <row r="47" spans="1:11" ht="25.5">
      <c r="A47" s="184" t="s">
        <v>200</v>
      </c>
      <c r="B47" s="131">
        <v>5629031.5</v>
      </c>
      <c r="C47" s="161">
        <v>5648808.0999999996</v>
      </c>
      <c r="D47" s="150">
        <v>6586590.4000000004</v>
      </c>
      <c r="E47" s="131">
        <v>4960970.7</v>
      </c>
      <c r="F47" s="26">
        <v>5391169.7999999998</v>
      </c>
      <c r="G47" s="150">
        <v>3823755.4</v>
      </c>
      <c r="H47" s="131">
        <v>4027571.5</v>
      </c>
      <c r="I47" s="150">
        <v>4562198.2</v>
      </c>
      <c r="J47" s="132">
        <v>3714062.3</v>
      </c>
      <c r="K47" s="132">
        <v>4080641.7</v>
      </c>
    </row>
    <row r="48" spans="1:11" ht="25.5">
      <c r="A48" s="185" t="s">
        <v>225</v>
      </c>
      <c r="B48" s="131"/>
      <c r="C48" s="161"/>
      <c r="D48" s="150"/>
      <c r="E48" s="131"/>
      <c r="F48" s="26"/>
      <c r="G48" s="150"/>
      <c r="H48" s="131"/>
      <c r="I48" s="150"/>
      <c r="J48" s="132"/>
      <c r="K48" s="132"/>
    </row>
    <row r="49" spans="1:12">
      <c r="A49" s="186" t="s">
        <v>201</v>
      </c>
      <c r="B49" s="131">
        <v>7122898.7999999998</v>
      </c>
      <c r="C49" s="161">
        <v>7741940.5999999996</v>
      </c>
      <c r="D49" s="150">
        <v>7699090.7999999998</v>
      </c>
      <c r="E49" s="131">
        <v>4486714.3</v>
      </c>
      <c r="F49" s="26">
        <v>4928443.4000000004</v>
      </c>
      <c r="G49" s="150">
        <v>5472289.5</v>
      </c>
      <c r="H49" s="131">
        <v>6044478.4000000004</v>
      </c>
      <c r="I49" s="150">
        <v>6063281.4000000004</v>
      </c>
      <c r="J49" s="132">
        <v>3497228.1</v>
      </c>
      <c r="K49" s="132">
        <v>3807997.2</v>
      </c>
    </row>
    <row r="50" spans="1:12">
      <c r="A50" s="172" t="s">
        <v>226</v>
      </c>
      <c r="B50" s="131"/>
      <c r="C50" s="161"/>
      <c r="D50" s="150"/>
      <c r="E50" s="131"/>
      <c r="F50" s="26"/>
      <c r="G50" s="150"/>
      <c r="H50" s="131"/>
      <c r="I50" s="150"/>
      <c r="J50" s="132"/>
      <c r="K50" s="132"/>
    </row>
    <row r="51" spans="1:12">
      <c r="A51" s="186" t="s">
        <v>70</v>
      </c>
      <c r="B51" s="131">
        <v>1304141</v>
      </c>
      <c r="C51" s="161">
        <v>1535010.8</v>
      </c>
      <c r="D51" s="150">
        <v>1515572</v>
      </c>
      <c r="E51" s="131">
        <v>547389.9</v>
      </c>
      <c r="F51" s="179">
        <v>631581.69999999995</v>
      </c>
      <c r="G51" s="150">
        <v>1004090.5</v>
      </c>
      <c r="H51" s="131">
        <v>1146347.8999999999</v>
      </c>
      <c r="I51" s="150">
        <v>1070512.2</v>
      </c>
      <c r="J51" s="132">
        <v>412729.5</v>
      </c>
      <c r="K51" s="132">
        <v>479996.9</v>
      </c>
    </row>
    <row r="52" spans="1:12">
      <c r="A52" s="172" t="s">
        <v>312</v>
      </c>
      <c r="B52" s="131"/>
      <c r="C52" s="161"/>
      <c r="D52" s="150"/>
      <c r="E52" s="131"/>
      <c r="F52" s="179"/>
      <c r="G52" s="150"/>
      <c r="H52" s="131"/>
      <c r="I52" s="150"/>
      <c r="J52" s="132"/>
      <c r="K52" s="132"/>
    </row>
    <row r="53" spans="1:12">
      <c r="A53" s="186" t="s">
        <v>202</v>
      </c>
      <c r="B53" s="131">
        <v>5432702.5999999996</v>
      </c>
      <c r="C53" s="161">
        <v>6039143.5</v>
      </c>
      <c r="D53" s="150">
        <v>6710260.5</v>
      </c>
      <c r="E53" s="131">
        <v>5696340.2000000002</v>
      </c>
      <c r="F53" s="26">
        <v>5404653.2000000002</v>
      </c>
      <c r="G53" s="150">
        <v>3971276.1</v>
      </c>
      <c r="H53" s="131">
        <v>4575999.5999999996</v>
      </c>
      <c r="I53" s="150">
        <v>5084966.9000000004</v>
      </c>
      <c r="J53" s="132">
        <v>4041592.1</v>
      </c>
      <c r="K53" s="132">
        <v>3864262.1</v>
      </c>
    </row>
    <row r="54" spans="1:12">
      <c r="A54" s="175" t="s">
        <v>227</v>
      </c>
      <c r="B54" s="131"/>
      <c r="C54" s="161"/>
      <c r="D54" s="150"/>
      <c r="E54" s="131"/>
      <c r="F54" s="26"/>
      <c r="G54" s="150"/>
      <c r="H54" s="131"/>
      <c r="I54" s="150"/>
      <c r="J54" s="132"/>
      <c r="K54" s="132"/>
    </row>
    <row r="55" spans="1:12">
      <c r="A55" s="186" t="s">
        <v>71</v>
      </c>
      <c r="B55" s="131">
        <v>572337.19999999995</v>
      </c>
      <c r="C55" s="161">
        <v>706060.1</v>
      </c>
      <c r="D55" s="150">
        <v>586996.30000000005</v>
      </c>
      <c r="E55" s="131">
        <v>482687.3</v>
      </c>
      <c r="F55" s="26">
        <v>435521.9</v>
      </c>
      <c r="G55" s="150">
        <v>437585.1</v>
      </c>
      <c r="H55" s="131">
        <v>589957.1</v>
      </c>
      <c r="I55" s="150">
        <v>424622.8</v>
      </c>
      <c r="J55" s="132">
        <v>414552.9</v>
      </c>
      <c r="K55" s="132">
        <v>382589</v>
      </c>
    </row>
    <row r="56" spans="1:12">
      <c r="A56" s="187" t="s">
        <v>228</v>
      </c>
      <c r="B56" s="131"/>
      <c r="C56" s="161"/>
      <c r="D56" s="150"/>
      <c r="E56" s="131"/>
      <c r="F56" s="26"/>
      <c r="G56" s="150"/>
      <c r="H56" s="131"/>
      <c r="I56" s="150"/>
      <c r="J56" s="132"/>
      <c r="K56" s="132"/>
    </row>
    <row r="57" spans="1:12">
      <c r="A57" s="186" t="s">
        <v>203</v>
      </c>
      <c r="B57" s="131">
        <v>649880</v>
      </c>
      <c r="C57" s="161">
        <v>501693</v>
      </c>
      <c r="D57" s="150">
        <v>540558.9</v>
      </c>
      <c r="E57" s="131">
        <v>498562.6</v>
      </c>
      <c r="F57" s="26">
        <v>822891.2</v>
      </c>
      <c r="G57" s="150">
        <v>408268.7</v>
      </c>
      <c r="H57" s="131">
        <v>359989</v>
      </c>
      <c r="I57" s="150">
        <v>343609.8</v>
      </c>
      <c r="J57" s="132">
        <v>391553.2</v>
      </c>
      <c r="K57" s="132">
        <v>618551.9</v>
      </c>
    </row>
    <row r="58" spans="1:12">
      <c r="A58" s="181" t="s">
        <v>231</v>
      </c>
      <c r="B58" s="131"/>
      <c r="C58" s="130"/>
      <c r="D58" s="131"/>
      <c r="E58" s="130"/>
      <c r="F58" s="171"/>
      <c r="G58" s="46"/>
      <c r="H58" s="171"/>
      <c r="I58" s="46"/>
      <c r="J58" s="188"/>
      <c r="K58" s="188"/>
      <c r="L58" s="78"/>
    </row>
    <row r="59" spans="1:12">
      <c r="B59" s="130"/>
      <c r="C59" s="130"/>
      <c r="D59" s="130"/>
      <c r="E59" s="130"/>
      <c r="F59" s="46"/>
      <c r="G59" s="46"/>
      <c r="H59" s="46"/>
      <c r="I59" s="46"/>
      <c r="J59" s="46"/>
      <c r="K59" s="46"/>
      <c r="L59" s="78"/>
    </row>
    <row r="60" spans="1:12">
      <c r="B60" s="46"/>
      <c r="C60" s="46"/>
      <c r="D60" s="46"/>
      <c r="E60" s="46"/>
      <c r="F60" s="46"/>
      <c r="G60" s="46"/>
      <c r="H60" s="46"/>
      <c r="I60" s="46"/>
      <c r="J60" s="46"/>
      <c r="K60" s="46"/>
      <c r="L60" s="78"/>
    </row>
    <row r="61" spans="1:12">
      <c r="B61" s="46"/>
      <c r="C61" s="46"/>
      <c r="D61" s="46"/>
      <c r="E61" s="46"/>
      <c r="F61" s="46"/>
      <c r="G61" s="46"/>
      <c r="H61" s="46"/>
      <c r="I61" s="46"/>
      <c r="J61" s="46"/>
      <c r="K61" s="46"/>
      <c r="L61" s="78"/>
    </row>
    <row r="62" spans="1:12">
      <c r="B62" s="46"/>
      <c r="C62" s="46"/>
      <c r="D62" s="46"/>
      <c r="E62" s="46"/>
      <c r="F62" s="46"/>
      <c r="G62" s="46"/>
      <c r="H62" s="46"/>
      <c r="I62" s="46"/>
      <c r="J62" s="46"/>
      <c r="K62" s="46"/>
    </row>
  </sheetData>
  <mergeCells count="6">
    <mergeCell ref="B4:F4"/>
    <mergeCell ref="G4:K4"/>
    <mergeCell ref="B6:K6"/>
    <mergeCell ref="A2:K2"/>
    <mergeCell ref="A4:A6"/>
    <mergeCell ref="A3:K3"/>
  </mergeCells>
  <pageMargins left="0.70866141732283472" right="0.70866141732283472" top="0.74803149606299213" bottom="0.74803149606299213" header="0.31496062992125984" footer="0.31496062992125984"/>
  <pageSetup paperSize="9" scale="67" orientation="landscape" r:id="rId1"/>
  <rowBreaks count="1" manualBreakCount="1">
    <brk id="3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13"/>
  <sheetViews>
    <sheetView zoomScaleNormal="100" workbookViewId="0">
      <pane ySplit="5" topLeftCell="A6" activePane="bottomLeft" state="frozen"/>
      <selection pane="bottomLeft"/>
    </sheetView>
  </sheetViews>
  <sheetFormatPr defaultColWidth="8.7109375" defaultRowHeight="12.75"/>
  <cols>
    <col min="1" max="1" width="54.28515625" style="189" customWidth="1"/>
    <col min="2" max="3" width="12.7109375" style="225" customWidth="1"/>
    <col min="4" max="17" width="12.7109375" style="189" customWidth="1"/>
    <col min="18" max="16384" width="8.7109375" style="189"/>
  </cols>
  <sheetData>
    <row r="2" spans="1:17" ht="30" customHeight="1">
      <c r="A2" s="475" t="s">
        <v>356</v>
      </c>
      <c r="B2" s="475"/>
      <c r="C2" s="475"/>
      <c r="D2" s="408"/>
      <c r="E2" s="408"/>
      <c r="F2" s="408"/>
      <c r="G2" s="476"/>
      <c r="H2" s="476"/>
      <c r="I2" s="476"/>
      <c r="J2" s="476"/>
      <c r="K2" s="476"/>
      <c r="L2" s="476"/>
      <c r="M2" s="476"/>
      <c r="N2" s="476"/>
      <c r="O2" s="476"/>
      <c r="P2" s="476"/>
      <c r="Q2" s="476"/>
    </row>
    <row r="3" spans="1:17" s="277" customFormat="1" ht="13.9" customHeight="1">
      <c r="A3" s="481" t="s">
        <v>262</v>
      </c>
      <c r="B3" s="482"/>
      <c r="C3" s="482"/>
      <c r="D3" s="482"/>
      <c r="E3" s="482"/>
      <c r="F3" s="482"/>
      <c r="G3" s="482"/>
      <c r="H3" s="482"/>
      <c r="I3" s="482"/>
      <c r="J3" s="482"/>
      <c r="K3" s="482"/>
      <c r="L3" s="482"/>
      <c r="M3" s="482"/>
      <c r="N3" s="482"/>
      <c r="O3" s="482"/>
      <c r="P3" s="482"/>
      <c r="Q3" s="482"/>
    </row>
    <row r="4" spans="1:17" ht="18.75" customHeight="1">
      <c r="A4" s="478" t="s">
        <v>297</v>
      </c>
      <c r="B4" s="444" t="s">
        <v>57</v>
      </c>
      <c r="C4" s="443" t="s">
        <v>27</v>
      </c>
      <c r="D4" s="444" t="s">
        <v>28</v>
      </c>
      <c r="E4" s="444" t="s">
        <v>29</v>
      </c>
      <c r="F4" s="444" t="s">
        <v>30</v>
      </c>
      <c r="G4" s="443" t="s">
        <v>36</v>
      </c>
      <c r="H4" s="483" t="s">
        <v>37</v>
      </c>
      <c r="I4" s="435" t="s">
        <v>13</v>
      </c>
      <c r="J4" s="435" t="s">
        <v>14</v>
      </c>
      <c r="K4" s="435" t="s">
        <v>15</v>
      </c>
      <c r="L4" s="385" t="s">
        <v>16</v>
      </c>
      <c r="M4" s="385" t="s">
        <v>17</v>
      </c>
      <c r="N4" s="435" t="s">
        <v>18</v>
      </c>
      <c r="O4" s="435" t="s">
        <v>19</v>
      </c>
      <c r="P4" s="445" t="s">
        <v>20</v>
      </c>
      <c r="Q4" s="448" t="s">
        <v>31</v>
      </c>
    </row>
    <row r="5" spans="1:17" ht="26.25" customHeight="1" thickBot="1">
      <c r="A5" s="425"/>
      <c r="B5" s="387"/>
      <c r="C5" s="440"/>
      <c r="D5" s="387"/>
      <c r="E5" s="387"/>
      <c r="F5" s="387"/>
      <c r="G5" s="440"/>
      <c r="H5" s="484"/>
      <c r="I5" s="440"/>
      <c r="J5" s="440"/>
      <c r="K5" s="440"/>
      <c r="L5" s="387"/>
      <c r="M5" s="387"/>
      <c r="N5" s="440"/>
      <c r="O5" s="440"/>
      <c r="P5" s="440"/>
      <c r="Q5" s="477"/>
    </row>
    <row r="6" spans="1:17" ht="27" customHeight="1">
      <c r="A6" s="190"/>
      <c r="B6" s="479" t="s">
        <v>301</v>
      </c>
      <c r="C6" s="480"/>
      <c r="D6" s="480"/>
      <c r="E6" s="480"/>
      <c r="F6" s="480"/>
      <c r="G6" s="480"/>
      <c r="H6" s="480"/>
      <c r="I6" s="480"/>
      <c r="J6" s="480"/>
      <c r="K6" s="480"/>
      <c r="L6" s="480"/>
      <c r="M6" s="480"/>
      <c r="N6" s="480"/>
      <c r="O6" s="480"/>
      <c r="P6" s="480"/>
      <c r="Q6" s="480"/>
    </row>
    <row r="7" spans="1:17" s="194" customFormat="1" ht="21.75" customHeight="1">
      <c r="A7" s="74" t="s">
        <v>0</v>
      </c>
      <c r="B7" s="191">
        <v>6209427</v>
      </c>
      <c r="C7" s="191">
        <v>3954072.4</v>
      </c>
      <c r="D7" s="192">
        <v>2932125.8</v>
      </c>
      <c r="E7" s="193">
        <v>1113201.5</v>
      </c>
      <c r="F7" s="191">
        <v>3462171.5</v>
      </c>
      <c r="G7" s="193">
        <v>9209701</v>
      </c>
      <c r="H7" s="191">
        <v>21741286.800000001</v>
      </c>
      <c r="I7" s="191">
        <v>1693875.5</v>
      </c>
      <c r="J7" s="191">
        <v>3367780.3</v>
      </c>
      <c r="K7" s="193">
        <v>2404095.4</v>
      </c>
      <c r="L7" s="191">
        <v>5589826.5</v>
      </c>
      <c r="M7" s="193">
        <v>9902665.3000000007</v>
      </c>
      <c r="N7" s="191">
        <v>2049130.5</v>
      </c>
      <c r="O7" s="192">
        <v>1965348.8</v>
      </c>
      <c r="P7" s="191">
        <v>8427920</v>
      </c>
      <c r="Q7" s="193">
        <v>2596977.5</v>
      </c>
    </row>
    <row r="8" spans="1:17" s="194" customFormat="1">
      <c r="A8" s="195" t="s">
        <v>24</v>
      </c>
      <c r="B8" s="191"/>
      <c r="C8" s="191"/>
      <c r="D8" s="192"/>
      <c r="E8" s="193"/>
      <c r="F8" s="191"/>
      <c r="G8" s="193"/>
      <c r="H8" s="191"/>
      <c r="I8" s="191"/>
      <c r="J8" s="191"/>
      <c r="K8" s="193"/>
      <c r="L8" s="191"/>
      <c r="M8" s="193"/>
      <c r="N8" s="191"/>
      <c r="O8" s="192"/>
      <c r="P8" s="191"/>
      <c r="Q8" s="193"/>
    </row>
    <row r="9" spans="1:17" s="194" customFormat="1">
      <c r="A9" s="196" t="s">
        <v>206</v>
      </c>
      <c r="B9" s="191">
        <f>B11+B19</f>
        <v>2247099.2999999998</v>
      </c>
      <c r="C9" s="191">
        <f t="shared" ref="C9:Q9" si="0">C11+C19</f>
        <v>2028939.4</v>
      </c>
      <c r="D9" s="191">
        <f t="shared" si="0"/>
        <v>1460177.9</v>
      </c>
      <c r="E9" s="191">
        <f t="shared" si="0"/>
        <v>626864.69999999995</v>
      </c>
      <c r="F9" s="191">
        <f t="shared" si="0"/>
        <v>1864784.9</v>
      </c>
      <c r="G9" s="191">
        <f t="shared" si="0"/>
        <v>5318066.9000000004</v>
      </c>
      <c r="H9" s="191">
        <f t="shared" si="0"/>
        <v>10392151.699999999</v>
      </c>
      <c r="I9" s="191">
        <f t="shared" si="0"/>
        <v>1086855.6000000001</v>
      </c>
      <c r="J9" s="191">
        <f t="shared" si="0"/>
        <v>2039137.0999999999</v>
      </c>
      <c r="K9" s="191">
        <f t="shared" si="0"/>
        <v>1386401.5</v>
      </c>
      <c r="L9" s="191">
        <f t="shared" si="0"/>
        <v>3019580.3</v>
      </c>
      <c r="M9" s="191">
        <f t="shared" si="0"/>
        <v>4406891.4000000004</v>
      </c>
      <c r="N9" s="191">
        <f t="shared" si="0"/>
        <v>1071966.8</v>
      </c>
      <c r="O9" s="191">
        <f t="shared" si="0"/>
        <v>1238575.7</v>
      </c>
      <c r="P9" s="191">
        <f t="shared" si="0"/>
        <v>4448684.0999999996</v>
      </c>
      <c r="Q9" s="22">
        <f t="shared" si="0"/>
        <v>1172477.6000000001</v>
      </c>
    </row>
    <row r="10" spans="1:17" s="194" customFormat="1">
      <c r="A10" s="167" t="s">
        <v>208</v>
      </c>
      <c r="B10" s="191"/>
      <c r="C10" s="191"/>
      <c r="D10" s="192"/>
      <c r="E10" s="198"/>
      <c r="F10" s="191"/>
      <c r="G10" s="198"/>
      <c r="H10" s="191"/>
      <c r="I10" s="191"/>
      <c r="J10" s="191"/>
      <c r="K10" s="198"/>
      <c r="L10" s="191"/>
      <c r="M10" s="198"/>
      <c r="N10" s="191"/>
      <c r="O10" s="192"/>
      <c r="P10" s="191"/>
      <c r="Q10" s="198"/>
    </row>
    <row r="11" spans="1:17" s="194" customFormat="1">
      <c r="A11" s="199" t="s">
        <v>58</v>
      </c>
      <c r="B11" s="191">
        <v>845012.2</v>
      </c>
      <c r="C11" s="191">
        <v>702962.9</v>
      </c>
      <c r="D11" s="192">
        <v>598021.5</v>
      </c>
      <c r="E11" s="193">
        <v>218572.4</v>
      </c>
      <c r="F11" s="191">
        <v>496953.1</v>
      </c>
      <c r="G11" s="193">
        <v>2068010</v>
      </c>
      <c r="H11" s="191">
        <v>3274795.1</v>
      </c>
      <c r="I11" s="191">
        <v>228604.2</v>
      </c>
      <c r="J11" s="191">
        <v>555408.19999999995</v>
      </c>
      <c r="K11" s="193">
        <v>776369.3</v>
      </c>
      <c r="L11" s="191">
        <v>1212494.6000000001</v>
      </c>
      <c r="M11" s="193">
        <v>1259141.1000000001</v>
      </c>
      <c r="N11" s="191">
        <v>337492</v>
      </c>
      <c r="O11" s="192">
        <v>478890.7</v>
      </c>
      <c r="P11" s="191">
        <v>1159993.1000000001</v>
      </c>
      <c r="Q11" s="193">
        <v>492996.5</v>
      </c>
    </row>
    <row r="12" spans="1:17" s="194" customFormat="1">
      <c r="A12" s="169" t="s">
        <v>207</v>
      </c>
      <c r="B12" s="191"/>
      <c r="C12" s="191"/>
      <c r="D12" s="192"/>
      <c r="E12" s="193"/>
      <c r="F12" s="191"/>
      <c r="G12" s="193"/>
      <c r="H12" s="191"/>
      <c r="I12" s="191"/>
      <c r="J12" s="191"/>
      <c r="K12" s="193"/>
      <c r="L12" s="191"/>
      <c r="M12" s="193"/>
      <c r="N12" s="191"/>
      <c r="O12" s="192"/>
      <c r="P12" s="191"/>
      <c r="Q12" s="193"/>
    </row>
    <row r="13" spans="1:17" s="203" customFormat="1">
      <c r="A13" s="200" t="s">
        <v>59</v>
      </c>
      <c r="B13" s="201">
        <v>85444.9</v>
      </c>
      <c r="C13" s="201">
        <v>126328.7</v>
      </c>
      <c r="D13" s="202">
        <v>56201.2</v>
      </c>
      <c r="E13" s="29">
        <v>45188.4</v>
      </c>
      <c r="F13" s="201">
        <v>86221.2</v>
      </c>
      <c r="G13" s="29">
        <v>310756.2</v>
      </c>
      <c r="H13" s="201">
        <v>295872.90000000002</v>
      </c>
      <c r="I13" s="201">
        <v>67295</v>
      </c>
      <c r="J13" s="201">
        <v>136886.5</v>
      </c>
      <c r="K13" s="29">
        <v>118114.9</v>
      </c>
      <c r="L13" s="201">
        <v>145623.6</v>
      </c>
      <c r="M13" s="29">
        <v>294077.40000000002</v>
      </c>
      <c r="N13" s="201">
        <v>34389</v>
      </c>
      <c r="O13" s="202">
        <v>60856.1</v>
      </c>
      <c r="P13" s="201">
        <v>249984.6</v>
      </c>
      <c r="Q13" s="29">
        <v>56322.8</v>
      </c>
    </row>
    <row r="14" spans="1:17" s="203" customFormat="1">
      <c r="A14" s="172" t="s">
        <v>209</v>
      </c>
      <c r="B14" s="201"/>
      <c r="C14" s="201"/>
      <c r="D14" s="202"/>
      <c r="E14" s="29"/>
      <c r="F14" s="201"/>
      <c r="G14" s="29"/>
      <c r="H14" s="201"/>
      <c r="I14" s="201"/>
      <c r="J14" s="201"/>
      <c r="K14" s="29"/>
      <c r="L14" s="201"/>
      <c r="M14" s="29"/>
      <c r="N14" s="201"/>
      <c r="O14" s="202"/>
      <c r="P14" s="201"/>
      <c r="Q14" s="29"/>
    </row>
    <row r="15" spans="1:17" s="203" customFormat="1">
      <c r="A15" s="200" t="s">
        <v>192</v>
      </c>
      <c r="B15" s="201">
        <v>664085.80000000005</v>
      </c>
      <c r="C15" s="201">
        <v>475125</v>
      </c>
      <c r="D15" s="202">
        <v>528302.19999999995</v>
      </c>
      <c r="E15" s="29">
        <v>155210</v>
      </c>
      <c r="F15" s="201">
        <v>337057.3</v>
      </c>
      <c r="G15" s="29">
        <v>1521623.1</v>
      </c>
      <c r="H15" s="201">
        <v>2701674.5</v>
      </c>
      <c r="I15" s="201">
        <v>144878.29999999999</v>
      </c>
      <c r="J15" s="201">
        <v>380283.8</v>
      </c>
      <c r="K15" s="29">
        <v>648765.5</v>
      </c>
      <c r="L15" s="201">
        <v>854070.7</v>
      </c>
      <c r="M15" s="29">
        <v>891094.6</v>
      </c>
      <c r="N15" s="201">
        <v>292808.7</v>
      </c>
      <c r="O15" s="202">
        <v>375605.4</v>
      </c>
      <c r="P15" s="201">
        <v>764427.7</v>
      </c>
      <c r="Q15" s="29">
        <v>396340.7</v>
      </c>
    </row>
    <row r="16" spans="1:17" s="203" customFormat="1">
      <c r="A16" s="175" t="s">
        <v>210</v>
      </c>
      <c r="B16" s="201"/>
      <c r="C16" s="201"/>
      <c r="D16" s="202"/>
      <c r="E16" s="29"/>
      <c r="F16" s="201"/>
      <c r="G16" s="29"/>
      <c r="H16" s="201"/>
      <c r="I16" s="201"/>
      <c r="J16" s="201"/>
      <c r="K16" s="29"/>
      <c r="L16" s="201"/>
      <c r="M16" s="29"/>
      <c r="N16" s="201"/>
      <c r="O16" s="202"/>
      <c r="P16" s="201"/>
      <c r="Q16" s="29"/>
    </row>
    <row r="17" spans="1:17" s="204" customFormat="1">
      <c r="A17" s="200" t="s">
        <v>60</v>
      </c>
      <c r="B17" s="201">
        <v>95481.5</v>
      </c>
      <c r="C17" s="201">
        <v>101509.2</v>
      </c>
      <c r="D17" s="202">
        <v>13518.1</v>
      </c>
      <c r="E17" s="29">
        <v>18174</v>
      </c>
      <c r="F17" s="201">
        <v>73674.600000000006</v>
      </c>
      <c r="G17" s="29">
        <v>235630.7</v>
      </c>
      <c r="H17" s="201">
        <v>277247.7</v>
      </c>
      <c r="I17" s="201">
        <v>16430.900000000001</v>
      </c>
      <c r="J17" s="201">
        <v>38237.9</v>
      </c>
      <c r="K17" s="29">
        <v>9488.9</v>
      </c>
      <c r="L17" s="201">
        <v>212800.3</v>
      </c>
      <c r="M17" s="29">
        <v>73969.100000000006</v>
      </c>
      <c r="N17" s="201">
        <v>10294.299999999999</v>
      </c>
      <c r="O17" s="202">
        <v>42429.2</v>
      </c>
      <c r="P17" s="201">
        <v>145580.79999999999</v>
      </c>
      <c r="Q17" s="29">
        <v>40333</v>
      </c>
    </row>
    <row r="18" spans="1:17" s="204" customFormat="1">
      <c r="A18" s="172" t="s">
        <v>211</v>
      </c>
      <c r="B18" s="201"/>
      <c r="C18" s="201"/>
      <c r="D18" s="202"/>
      <c r="E18" s="29"/>
      <c r="F18" s="201"/>
      <c r="G18" s="29"/>
      <c r="H18" s="201"/>
      <c r="I18" s="201"/>
      <c r="J18" s="201"/>
      <c r="K18" s="29"/>
      <c r="L18" s="201"/>
      <c r="M18" s="29"/>
      <c r="N18" s="201"/>
      <c r="O18" s="202"/>
      <c r="P18" s="201"/>
      <c r="Q18" s="29"/>
    </row>
    <row r="19" spans="1:17" s="194" customFormat="1">
      <c r="A19" s="199" t="s">
        <v>61</v>
      </c>
      <c r="B19" s="191">
        <v>1402087.1</v>
      </c>
      <c r="C19" s="191">
        <v>1325976.5</v>
      </c>
      <c r="D19" s="192">
        <v>862156.4</v>
      </c>
      <c r="E19" s="193">
        <v>408292.3</v>
      </c>
      <c r="F19" s="191">
        <v>1367831.8</v>
      </c>
      <c r="G19" s="193">
        <v>3250056.9</v>
      </c>
      <c r="H19" s="191">
        <v>7117356.5999999996</v>
      </c>
      <c r="I19" s="191">
        <v>858251.4</v>
      </c>
      <c r="J19" s="191">
        <v>1483728.9</v>
      </c>
      <c r="K19" s="193">
        <v>610032.19999999995</v>
      </c>
      <c r="L19" s="191">
        <v>1807085.7</v>
      </c>
      <c r="M19" s="193">
        <v>3147750.3</v>
      </c>
      <c r="N19" s="191">
        <v>734474.8</v>
      </c>
      <c r="O19" s="192">
        <v>759685</v>
      </c>
      <c r="P19" s="191">
        <v>3288691</v>
      </c>
      <c r="Q19" s="193">
        <v>679481.1</v>
      </c>
    </row>
    <row r="20" spans="1:17" s="194" customFormat="1">
      <c r="A20" s="169" t="s">
        <v>212</v>
      </c>
      <c r="B20" s="191"/>
      <c r="C20" s="192"/>
      <c r="D20" s="192"/>
      <c r="E20" s="193"/>
      <c r="F20" s="191"/>
      <c r="G20" s="193"/>
      <c r="H20" s="191"/>
      <c r="I20" s="191"/>
      <c r="J20" s="191"/>
      <c r="K20" s="193"/>
      <c r="L20" s="191"/>
      <c r="M20" s="193"/>
      <c r="N20" s="191"/>
      <c r="O20" s="192"/>
      <c r="P20" s="191"/>
      <c r="Q20" s="193"/>
    </row>
    <row r="21" spans="1:17" s="194" customFormat="1">
      <c r="A21" s="200" t="s">
        <v>193</v>
      </c>
      <c r="B21" s="201">
        <v>47861.2</v>
      </c>
      <c r="C21" s="202">
        <v>33458.5</v>
      </c>
      <c r="D21" s="202">
        <v>17478.3</v>
      </c>
      <c r="E21" s="29">
        <v>2137.1999999999998</v>
      </c>
      <c r="F21" s="201">
        <v>12629.3</v>
      </c>
      <c r="G21" s="29">
        <v>142923.29999999999</v>
      </c>
      <c r="H21" s="201">
        <v>386929.6</v>
      </c>
      <c r="I21" s="201">
        <v>2617</v>
      </c>
      <c r="J21" s="201">
        <v>42299.7</v>
      </c>
      <c r="K21" s="29">
        <v>14167.1</v>
      </c>
      <c r="L21" s="201">
        <v>95427.7</v>
      </c>
      <c r="M21" s="29">
        <v>74643.199999999997</v>
      </c>
      <c r="N21" s="201">
        <v>7578.4</v>
      </c>
      <c r="O21" s="202">
        <v>16031.8</v>
      </c>
      <c r="P21" s="201">
        <v>80944.399999999994</v>
      </c>
      <c r="Q21" s="29">
        <v>155192.5</v>
      </c>
    </row>
    <row r="22" spans="1:17" s="194" customFormat="1">
      <c r="A22" s="176" t="s">
        <v>213</v>
      </c>
      <c r="B22" s="201"/>
      <c r="C22" s="202"/>
      <c r="D22" s="202"/>
      <c r="E22" s="29"/>
      <c r="F22" s="201"/>
      <c r="G22" s="29"/>
      <c r="H22" s="201"/>
      <c r="I22" s="201"/>
      <c r="J22" s="201"/>
      <c r="K22" s="29"/>
      <c r="L22" s="201"/>
      <c r="M22" s="29"/>
      <c r="N22" s="201"/>
      <c r="O22" s="202"/>
      <c r="P22" s="201"/>
      <c r="Q22" s="29"/>
    </row>
    <row r="23" spans="1:17" s="203" customFormat="1">
      <c r="A23" s="200" t="s">
        <v>62</v>
      </c>
      <c r="B23" s="201">
        <v>171147.2</v>
      </c>
      <c r="C23" s="202">
        <v>103622</v>
      </c>
      <c r="D23" s="202">
        <v>86279.7</v>
      </c>
      <c r="E23" s="29">
        <v>33117.199999999997</v>
      </c>
      <c r="F23" s="201">
        <v>105004.7</v>
      </c>
      <c r="G23" s="29">
        <v>410653.6</v>
      </c>
      <c r="H23" s="201">
        <v>1956389.5</v>
      </c>
      <c r="I23" s="201">
        <v>33891.5</v>
      </c>
      <c r="J23" s="30">
        <v>102449.9</v>
      </c>
      <c r="K23" s="201">
        <v>38699.5</v>
      </c>
      <c r="L23" s="205">
        <v>130420</v>
      </c>
      <c r="M23" s="201">
        <v>257818.6</v>
      </c>
      <c r="N23" s="202">
        <v>157945.70000000001</v>
      </c>
      <c r="O23" s="202">
        <v>37886.199999999997</v>
      </c>
      <c r="P23" s="201">
        <v>214959.3</v>
      </c>
      <c r="Q23" s="29">
        <v>29978.6</v>
      </c>
    </row>
    <row r="24" spans="1:17" s="203" customFormat="1">
      <c r="A24" s="172" t="s">
        <v>214</v>
      </c>
      <c r="B24" s="201"/>
      <c r="C24" s="202"/>
      <c r="D24" s="202"/>
      <c r="E24" s="29"/>
      <c r="F24" s="201"/>
      <c r="G24" s="29"/>
      <c r="H24" s="201"/>
      <c r="I24" s="201"/>
      <c r="J24" s="30"/>
      <c r="K24" s="201"/>
      <c r="L24" s="205"/>
      <c r="M24" s="201"/>
      <c r="N24" s="205"/>
      <c r="O24" s="201"/>
      <c r="P24" s="30"/>
      <c r="Q24" s="30"/>
    </row>
    <row r="25" spans="1:17" s="203" customFormat="1">
      <c r="A25" s="200" t="s">
        <v>63</v>
      </c>
      <c r="B25" s="30">
        <v>327799</v>
      </c>
      <c r="C25" s="201">
        <v>251002.5</v>
      </c>
      <c r="D25" s="205">
        <v>196964.6</v>
      </c>
      <c r="E25" s="201">
        <v>94523</v>
      </c>
      <c r="F25" s="205">
        <v>273159.09999999998</v>
      </c>
      <c r="G25" s="201">
        <v>973833.5</v>
      </c>
      <c r="H25" s="201">
        <v>1309732.8</v>
      </c>
      <c r="I25" s="201">
        <v>289955.5</v>
      </c>
      <c r="J25" s="205">
        <v>337787.2</v>
      </c>
      <c r="K25" s="201">
        <v>118272</v>
      </c>
      <c r="L25" s="205">
        <v>515609.7</v>
      </c>
      <c r="M25" s="201">
        <v>645678.19999999995</v>
      </c>
      <c r="N25" s="205">
        <v>131479.5</v>
      </c>
      <c r="O25" s="201">
        <v>147740.20000000001</v>
      </c>
      <c r="P25" s="30">
        <v>673427.4</v>
      </c>
      <c r="Q25" s="30">
        <v>97165.8</v>
      </c>
    </row>
    <row r="26" spans="1:17" s="203" customFormat="1">
      <c r="A26" s="172" t="s">
        <v>215</v>
      </c>
      <c r="B26" s="206"/>
      <c r="C26" s="206"/>
      <c r="D26" s="207"/>
      <c r="E26" s="206"/>
      <c r="F26" s="207"/>
      <c r="G26" s="206"/>
      <c r="H26" s="206"/>
      <c r="I26" s="206"/>
      <c r="J26" s="207"/>
      <c r="K26" s="206"/>
      <c r="L26" s="207"/>
      <c r="M26" s="206"/>
      <c r="N26" s="207"/>
      <c r="O26" s="206"/>
      <c r="P26" s="208"/>
      <c r="Q26" s="208"/>
    </row>
    <row r="27" spans="1:17" s="203" customFormat="1">
      <c r="A27" s="170" t="s">
        <v>64</v>
      </c>
      <c r="B27" s="201">
        <v>2577.6</v>
      </c>
      <c r="C27" s="201">
        <v>5257.8</v>
      </c>
      <c r="D27" s="205">
        <v>4280.6000000000004</v>
      </c>
      <c r="E27" s="201" t="s">
        <v>145</v>
      </c>
      <c r="F27" s="205">
        <v>26994.9</v>
      </c>
      <c r="G27" s="201">
        <v>13696.5</v>
      </c>
      <c r="H27" s="201">
        <v>143152.20000000001</v>
      </c>
      <c r="I27" s="201">
        <v>5413.1</v>
      </c>
      <c r="J27" s="205">
        <v>7013</v>
      </c>
      <c r="K27" s="201">
        <v>7154</v>
      </c>
      <c r="L27" s="205">
        <v>24360.5</v>
      </c>
      <c r="M27" s="201">
        <v>13145.4</v>
      </c>
      <c r="N27" s="205">
        <v>7618.1</v>
      </c>
      <c r="O27" s="201">
        <v>10799.7</v>
      </c>
      <c r="P27" s="30">
        <v>16285.6</v>
      </c>
      <c r="Q27" s="30" t="s">
        <v>145</v>
      </c>
    </row>
    <row r="28" spans="1:17" s="203" customFormat="1">
      <c r="A28" s="177" t="s">
        <v>216</v>
      </c>
      <c r="B28" s="201"/>
      <c r="C28" s="201"/>
      <c r="D28" s="205"/>
      <c r="E28" s="201"/>
      <c r="F28" s="205"/>
      <c r="G28" s="201"/>
      <c r="H28" s="201"/>
      <c r="I28" s="201"/>
      <c r="J28" s="205"/>
      <c r="K28" s="201"/>
      <c r="L28" s="205"/>
      <c r="M28" s="201"/>
      <c r="N28" s="205"/>
      <c r="O28" s="201"/>
      <c r="P28" s="30"/>
      <c r="Q28" s="30"/>
    </row>
    <row r="29" spans="1:17" s="203" customFormat="1">
      <c r="A29" s="200" t="s">
        <v>65</v>
      </c>
      <c r="B29" s="201">
        <v>527069.9</v>
      </c>
      <c r="C29" s="202">
        <v>614510.19999999995</v>
      </c>
      <c r="D29" s="202">
        <v>407267.3</v>
      </c>
      <c r="E29" s="29">
        <v>183267.20000000001</v>
      </c>
      <c r="F29" s="201">
        <v>736136.8</v>
      </c>
      <c r="G29" s="29">
        <v>1074182.6000000001</v>
      </c>
      <c r="H29" s="201">
        <v>1766017.4</v>
      </c>
      <c r="I29" s="201">
        <v>424667.5</v>
      </c>
      <c r="J29" s="201">
        <v>757884.9</v>
      </c>
      <c r="K29" s="29">
        <v>278832.09999999998</v>
      </c>
      <c r="L29" s="201">
        <v>645064.5</v>
      </c>
      <c r="M29" s="29">
        <v>1537365.1</v>
      </c>
      <c r="N29" s="201">
        <v>250488.2</v>
      </c>
      <c r="O29" s="202">
        <v>335396.40000000002</v>
      </c>
      <c r="P29" s="201">
        <v>1780812.6</v>
      </c>
      <c r="Q29" s="29">
        <v>241654.39999999999</v>
      </c>
    </row>
    <row r="30" spans="1:17" s="203" customFormat="1">
      <c r="A30" s="172" t="s">
        <v>217</v>
      </c>
      <c r="B30" s="201"/>
      <c r="C30" s="202"/>
      <c r="D30" s="202"/>
      <c r="E30" s="29"/>
      <c r="F30" s="201"/>
      <c r="G30" s="29"/>
      <c r="H30" s="201"/>
      <c r="I30" s="201"/>
      <c r="J30" s="201"/>
      <c r="K30" s="29"/>
      <c r="L30" s="201"/>
      <c r="M30" s="29"/>
      <c r="N30" s="201"/>
      <c r="O30" s="202"/>
      <c r="P30" s="201"/>
      <c r="Q30" s="29"/>
    </row>
    <row r="31" spans="1:17" s="203" customFormat="1" ht="38.25">
      <c r="A31" s="209" t="s">
        <v>194</v>
      </c>
      <c r="B31" s="201">
        <v>252943.5</v>
      </c>
      <c r="C31" s="202">
        <v>244673.9</v>
      </c>
      <c r="D31" s="202">
        <v>123930.8</v>
      </c>
      <c r="E31" s="29" t="s">
        <v>145</v>
      </c>
      <c r="F31" s="201">
        <v>173027.20000000001</v>
      </c>
      <c r="G31" s="29">
        <v>479669.7</v>
      </c>
      <c r="H31" s="201">
        <v>1116127.8</v>
      </c>
      <c r="I31" s="201">
        <v>71051.3</v>
      </c>
      <c r="J31" s="201">
        <v>213301.5</v>
      </c>
      <c r="K31" s="29">
        <v>102502.2</v>
      </c>
      <c r="L31" s="201">
        <v>280794.3</v>
      </c>
      <c r="M31" s="29">
        <v>546406.19999999995</v>
      </c>
      <c r="N31" s="201">
        <v>135907.5</v>
      </c>
      <c r="O31" s="202">
        <v>79177.5</v>
      </c>
      <c r="P31" s="201">
        <v>372310.9</v>
      </c>
      <c r="Q31" s="29" t="s">
        <v>145</v>
      </c>
    </row>
    <row r="32" spans="1:17" s="203" customFormat="1" ht="25.5">
      <c r="A32" s="210" t="s">
        <v>218</v>
      </c>
      <c r="B32" s="201"/>
      <c r="C32" s="202"/>
      <c r="D32" s="202"/>
      <c r="E32" s="29"/>
      <c r="F32" s="201"/>
      <c r="G32" s="29"/>
      <c r="H32" s="201"/>
      <c r="I32" s="201"/>
      <c r="J32" s="201"/>
      <c r="K32" s="29"/>
      <c r="L32" s="201"/>
      <c r="M32" s="29"/>
      <c r="N32" s="201"/>
      <c r="O32" s="202"/>
      <c r="P32" s="201"/>
      <c r="Q32" s="29"/>
    </row>
    <row r="33" spans="1:17" s="203" customFormat="1">
      <c r="A33" s="200" t="s">
        <v>66</v>
      </c>
      <c r="B33" s="201">
        <v>72688.7</v>
      </c>
      <c r="C33" s="202">
        <v>73451.600000000006</v>
      </c>
      <c r="D33" s="202">
        <v>25955.1</v>
      </c>
      <c r="E33" s="29" t="s">
        <v>145</v>
      </c>
      <c r="F33" s="201">
        <v>40879.800000000003</v>
      </c>
      <c r="G33" s="29">
        <v>155097.70000000001</v>
      </c>
      <c r="H33" s="201">
        <v>439007.3</v>
      </c>
      <c r="I33" s="201">
        <v>30655.5</v>
      </c>
      <c r="J33" s="201">
        <v>22992.7</v>
      </c>
      <c r="K33" s="29">
        <v>50405.3</v>
      </c>
      <c r="L33" s="201">
        <v>115409</v>
      </c>
      <c r="M33" s="29">
        <v>72693.600000000006</v>
      </c>
      <c r="N33" s="201">
        <v>43457.4</v>
      </c>
      <c r="O33" s="202">
        <v>132653.20000000001</v>
      </c>
      <c r="P33" s="201">
        <v>149950.79999999999</v>
      </c>
      <c r="Q33" s="29" t="s">
        <v>145</v>
      </c>
    </row>
    <row r="34" spans="1:17" s="203" customFormat="1">
      <c r="A34" s="211" t="s">
        <v>219</v>
      </c>
      <c r="B34" s="201"/>
      <c r="C34" s="202"/>
      <c r="D34" s="202"/>
      <c r="E34" s="29"/>
      <c r="F34" s="201"/>
      <c r="G34" s="29"/>
      <c r="H34" s="201"/>
      <c r="I34" s="201"/>
      <c r="J34" s="201"/>
      <c r="K34" s="29"/>
      <c r="L34" s="201"/>
      <c r="M34" s="29"/>
      <c r="N34" s="201"/>
      <c r="O34" s="202"/>
      <c r="P34" s="201"/>
      <c r="Q34" s="29"/>
    </row>
    <row r="35" spans="1:17" s="194" customFormat="1">
      <c r="A35" s="196" t="s">
        <v>67</v>
      </c>
      <c r="B35" s="191">
        <v>3962327.7</v>
      </c>
      <c r="C35" s="192">
        <v>1925133</v>
      </c>
      <c r="D35" s="192">
        <v>1471947.9</v>
      </c>
      <c r="E35" s="193">
        <v>486336.8</v>
      </c>
      <c r="F35" s="191">
        <v>1597386.6</v>
      </c>
      <c r="G35" s="193">
        <v>3891634.1</v>
      </c>
      <c r="H35" s="191">
        <v>11349135.1</v>
      </c>
      <c r="I35" s="191">
        <v>607019.9</v>
      </c>
      <c r="J35" s="191">
        <v>1328643.2</v>
      </c>
      <c r="K35" s="193">
        <v>1017693.9</v>
      </c>
      <c r="L35" s="191">
        <v>2570246.2000000002</v>
      </c>
      <c r="M35" s="193">
        <v>5495773.9000000004</v>
      </c>
      <c r="N35" s="191">
        <v>977163.7</v>
      </c>
      <c r="O35" s="192">
        <v>726773.1</v>
      </c>
      <c r="P35" s="191">
        <v>3979235.9</v>
      </c>
      <c r="Q35" s="193">
        <v>1424499.9</v>
      </c>
    </row>
    <row r="36" spans="1:17" s="194" customFormat="1">
      <c r="A36" s="167" t="s">
        <v>26</v>
      </c>
      <c r="B36" s="191"/>
      <c r="C36" s="192"/>
      <c r="D36" s="192"/>
      <c r="E36" s="193"/>
      <c r="F36" s="191"/>
      <c r="G36" s="193"/>
      <c r="H36" s="191"/>
      <c r="I36" s="191"/>
      <c r="J36" s="191"/>
      <c r="K36" s="193"/>
      <c r="L36" s="191"/>
      <c r="M36" s="193"/>
      <c r="N36" s="191"/>
      <c r="O36" s="192"/>
      <c r="P36" s="191"/>
      <c r="Q36" s="193"/>
    </row>
    <row r="37" spans="1:17" s="194" customFormat="1">
      <c r="A37" s="200" t="s">
        <v>195</v>
      </c>
      <c r="B37" s="201">
        <v>1839999.6</v>
      </c>
      <c r="C37" s="202">
        <v>1046719.3</v>
      </c>
      <c r="D37" s="202">
        <v>710230.8</v>
      </c>
      <c r="E37" s="29">
        <v>202139.4</v>
      </c>
      <c r="F37" s="201">
        <v>659376.4</v>
      </c>
      <c r="G37" s="29">
        <v>1294440.8</v>
      </c>
      <c r="H37" s="201">
        <v>5724011.0999999996</v>
      </c>
      <c r="I37" s="201">
        <v>251976.9</v>
      </c>
      <c r="J37" s="201">
        <v>570577.9</v>
      </c>
      <c r="K37" s="29">
        <v>654011.9</v>
      </c>
      <c r="L37" s="201">
        <v>741225.8</v>
      </c>
      <c r="M37" s="29">
        <v>1432961.4</v>
      </c>
      <c r="N37" s="201">
        <v>482166.4</v>
      </c>
      <c r="O37" s="202">
        <v>248818.2</v>
      </c>
      <c r="P37" s="201">
        <v>1169370.5</v>
      </c>
      <c r="Q37" s="29">
        <v>812143.9</v>
      </c>
    </row>
    <row r="38" spans="1:17" s="194" customFormat="1">
      <c r="A38" s="175" t="s">
        <v>221</v>
      </c>
      <c r="B38" s="201"/>
      <c r="C38" s="202"/>
      <c r="D38" s="202"/>
      <c r="E38" s="29"/>
      <c r="F38" s="201"/>
      <c r="G38" s="29"/>
      <c r="H38" s="201"/>
      <c r="I38" s="201"/>
      <c r="J38" s="201"/>
      <c r="K38" s="29"/>
      <c r="L38" s="201"/>
      <c r="M38" s="29"/>
      <c r="N38" s="201"/>
      <c r="O38" s="202"/>
      <c r="P38" s="201"/>
      <c r="Q38" s="29"/>
    </row>
    <row r="39" spans="1:17" s="203" customFormat="1" ht="25.5" customHeight="1">
      <c r="A39" s="209" t="s">
        <v>196</v>
      </c>
      <c r="B39" s="201" t="s">
        <v>145</v>
      </c>
      <c r="C39" s="202">
        <v>14317.2</v>
      </c>
      <c r="D39" s="202" t="s">
        <v>145</v>
      </c>
      <c r="E39" s="29" t="s">
        <v>145</v>
      </c>
      <c r="F39" s="201">
        <v>121538.2</v>
      </c>
      <c r="G39" s="29">
        <v>717889.1</v>
      </c>
      <c r="H39" s="201">
        <v>1365903.8</v>
      </c>
      <c r="I39" s="201" t="s">
        <v>145</v>
      </c>
      <c r="J39" s="201" t="s">
        <v>145</v>
      </c>
      <c r="K39" s="29" t="s">
        <v>145</v>
      </c>
      <c r="L39" s="201">
        <v>290711.5</v>
      </c>
      <c r="M39" s="29">
        <v>272725.59999999998</v>
      </c>
      <c r="N39" s="201">
        <v>45848</v>
      </c>
      <c r="O39" s="202" t="s">
        <v>145</v>
      </c>
      <c r="P39" s="201">
        <v>1016220.5</v>
      </c>
      <c r="Q39" s="29" t="s">
        <v>145</v>
      </c>
    </row>
    <row r="40" spans="1:17" s="203" customFormat="1">
      <c r="A40" s="172" t="s">
        <v>220</v>
      </c>
      <c r="B40" s="201"/>
      <c r="C40" s="202"/>
      <c r="D40" s="202"/>
      <c r="E40" s="29"/>
      <c r="F40" s="201"/>
      <c r="G40" s="29"/>
      <c r="H40" s="201"/>
      <c r="I40" s="201"/>
      <c r="J40" s="201"/>
      <c r="K40" s="29"/>
      <c r="L40" s="201"/>
      <c r="M40" s="29"/>
      <c r="N40" s="201"/>
      <c r="O40" s="202"/>
      <c r="P40" s="201"/>
      <c r="Q40" s="29"/>
    </row>
    <row r="41" spans="1:17" s="203" customFormat="1">
      <c r="A41" s="200" t="s">
        <v>68</v>
      </c>
      <c r="B41" s="201">
        <v>20.2</v>
      </c>
      <c r="C41" s="202" t="s">
        <v>145</v>
      </c>
      <c r="D41" s="202" t="s">
        <v>145</v>
      </c>
      <c r="E41" s="29" t="s">
        <v>148</v>
      </c>
      <c r="F41" s="201">
        <v>2685.9</v>
      </c>
      <c r="G41" s="29" t="s">
        <v>145</v>
      </c>
      <c r="H41" s="201">
        <v>89338.8</v>
      </c>
      <c r="I41" s="201" t="s">
        <v>148</v>
      </c>
      <c r="J41" s="201">
        <v>321.7</v>
      </c>
      <c r="K41" s="29" t="s">
        <v>148</v>
      </c>
      <c r="L41" s="201" t="s">
        <v>145</v>
      </c>
      <c r="M41" s="29" t="s">
        <v>145</v>
      </c>
      <c r="N41" s="201" t="s">
        <v>148</v>
      </c>
      <c r="O41" s="202" t="s">
        <v>145</v>
      </c>
      <c r="P41" s="201">
        <v>23436.6</v>
      </c>
      <c r="Q41" s="29">
        <v>43.6</v>
      </c>
    </row>
    <row r="42" spans="1:17" s="203" customFormat="1">
      <c r="A42" s="172" t="s">
        <v>222</v>
      </c>
      <c r="B42" s="201"/>
      <c r="C42" s="202"/>
      <c r="D42" s="202"/>
      <c r="E42" s="29"/>
      <c r="F42" s="201"/>
      <c r="G42" s="29"/>
      <c r="H42" s="201"/>
      <c r="I42" s="201"/>
      <c r="J42" s="201"/>
      <c r="K42" s="29"/>
      <c r="L42" s="201"/>
      <c r="M42" s="29"/>
      <c r="N42" s="201"/>
      <c r="O42" s="202"/>
      <c r="P42" s="201"/>
      <c r="Q42" s="29"/>
    </row>
    <row r="43" spans="1:17" s="203" customFormat="1" ht="25.5">
      <c r="A43" s="209" t="s">
        <v>197</v>
      </c>
      <c r="B43" s="201">
        <v>91071.7</v>
      </c>
      <c r="C43" s="202" t="s">
        <v>145</v>
      </c>
      <c r="D43" s="202">
        <v>7104.3</v>
      </c>
      <c r="E43" s="29" t="s">
        <v>145</v>
      </c>
      <c r="F43" s="201">
        <v>99183.3</v>
      </c>
      <c r="G43" s="29">
        <v>388851.4</v>
      </c>
      <c r="H43" s="201">
        <v>929469.2</v>
      </c>
      <c r="I43" s="201">
        <v>41584.699999999997</v>
      </c>
      <c r="J43" s="201">
        <v>73481.100000000006</v>
      </c>
      <c r="K43" s="29">
        <v>10801.9</v>
      </c>
      <c r="L43" s="201">
        <v>152975.79999999999</v>
      </c>
      <c r="M43" s="29">
        <v>593513.1</v>
      </c>
      <c r="N43" s="201">
        <v>94892.5</v>
      </c>
      <c r="O43" s="202" t="s">
        <v>145</v>
      </c>
      <c r="P43" s="201">
        <v>84193.600000000006</v>
      </c>
      <c r="Q43" s="29" t="s">
        <v>145</v>
      </c>
    </row>
    <row r="44" spans="1:17" s="203" customFormat="1">
      <c r="A44" s="210" t="s">
        <v>223</v>
      </c>
      <c r="B44" s="201"/>
      <c r="C44" s="202"/>
      <c r="D44" s="202"/>
      <c r="E44" s="29"/>
      <c r="F44" s="201"/>
      <c r="G44" s="29"/>
      <c r="H44" s="201"/>
      <c r="I44" s="201"/>
      <c r="J44" s="201"/>
      <c r="K44" s="29"/>
      <c r="L44" s="201"/>
      <c r="M44" s="29"/>
      <c r="N44" s="201"/>
      <c r="O44" s="202"/>
      <c r="P44" s="201"/>
      <c r="Q44" s="29"/>
    </row>
    <row r="45" spans="1:17" s="203" customFormat="1">
      <c r="A45" s="200" t="s">
        <v>69</v>
      </c>
      <c r="B45" s="201" t="s">
        <v>145</v>
      </c>
      <c r="C45" s="201" t="s">
        <v>145</v>
      </c>
      <c r="D45" s="202" t="s">
        <v>145</v>
      </c>
      <c r="E45" s="29">
        <v>23816.3</v>
      </c>
      <c r="F45" s="201">
        <v>7697.7</v>
      </c>
      <c r="G45" s="29" t="s">
        <v>145</v>
      </c>
      <c r="H45" s="201">
        <v>211159.1</v>
      </c>
      <c r="I45" s="201" t="s">
        <v>145</v>
      </c>
      <c r="J45" s="201" t="s">
        <v>145</v>
      </c>
      <c r="K45" s="29" t="s">
        <v>145</v>
      </c>
      <c r="L45" s="201" t="s">
        <v>145</v>
      </c>
      <c r="M45" s="29" t="s">
        <v>145</v>
      </c>
      <c r="N45" s="201">
        <v>38338.199999999997</v>
      </c>
      <c r="O45" s="202" t="s">
        <v>145</v>
      </c>
      <c r="P45" s="201">
        <v>27496</v>
      </c>
      <c r="Q45" s="29">
        <v>45860.6</v>
      </c>
    </row>
    <row r="46" spans="1:17" s="203" customFormat="1">
      <c r="A46" s="212" t="s">
        <v>224</v>
      </c>
      <c r="B46" s="201"/>
      <c r="C46" s="202"/>
      <c r="D46" s="202"/>
      <c r="E46" s="29"/>
      <c r="F46" s="201"/>
      <c r="G46" s="29"/>
      <c r="H46" s="201"/>
      <c r="I46" s="201"/>
      <c r="J46" s="201"/>
      <c r="K46" s="29"/>
      <c r="L46" s="201"/>
      <c r="M46" s="29"/>
      <c r="N46" s="201"/>
      <c r="O46" s="202"/>
      <c r="P46" s="201"/>
      <c r="Q46" s="29"/>
    </row>
    <row r="47" spans="1:17" s="203" customFormat="1" ht="25.5">
      <c r="A47" s="213" t="s">
        <v>200</v>
      </c>
      <c r="B47" s="201">
        <v>351587</v>
      </c>
      <c r="C47" s="202">
        <v>268134.7</v>
      </c>
      <c r="D47" s="202">
        <v>290222.09999999998</v>
      </c>
      <c r="E47" s="29">
        <v>76720.800000000003</v>
      </c>
      <c r="F47" s="201">
        <v>226243.6</v>
      </c>
      <c r="G47" s="29">
        <v>352584.2</v>
      </c>
      <c r="H47" s="201">
        <v>807546.8</v>
      </c>
      <c r="I47" s="201">
        <v>57355.1</v>
      </c>
      <c r="J47" s="201">
        <v>274964.2</v>
      </c>
      <c r="K47" s="29">
        <v>193811.7</v>
      </c>
      <c r="L47" s="201">
        <v>760934.5</v>
      </c>
      <c r="M47" s="29">
        <v>615842.5</v>
      </c>
      <c r="N47" s="201">
        <v>146878.5</v>
      </c>
      <c r="O47" s="202">
        <v>251099.3</v>
      </c>
      <c r="P47" s="201">
        <v>542899.6</v>
      </c>
      <c r="Q47" s="29">
        <v>174345.2</v>
      </c>
    </row>
    <row r="48" spans="1:17" s="203" customFormat="1" ht="25.5">
      <c r="A48" s="185" t="s">
        <v>225</v>
      </c>
      <c r="B48" s="201"/>
      <c r="C48" s="202"/>
      <c r="D48" s="202"/>
      <c r="E48" s="29"/>
      <c r="F48" s="201"/>
      <c r="G48" s="29"/>
      <c r="H48" s="201"/>
      <c r="I48" s="201"/>
      <c r="J48" s="201"/>
      <c r="K48" s="29"/>
      <c r="L48" s="201"/>
      <c r="M48" s="29"/>
      <c r="N48" s="201"/>
      <c r="O48" s="202"/>
      <c r="P48" s="201"/>
      <c r="Q48" s="29"/>
    </row>
    <row r="49" spans="1:17" s="203" customFormat="1">
      <c r="A49" s="214" t="s">
        <v>201</v>
      </c>
      <c r="B49" s="201">
        <v>322853.3</v>
      </c>
      <c r="C49" s="202">
        <v>293632.5</v>
      </c>
      <c r="D49" s="202">
        <v>175589.1</v>
      </c>
      <c r="E49" s="29">
        <v>110417</v>
      </c>
      <c r="F49" s="201">
        <v>288200.5</v>
      </c>
      <c r="G49" s="29">
        <v>506524.7</v>
      </c>
      <c r="H49" s="201">
        <v>661412</v>
      </c>
      <c r="I49" s="201">
        <v>76255.600000000006</v>
      </c>
      <c r="J49" s="201">
        <v>208824</v>
      </c>
      <c r="K49" s="29">
        <v>129618.4</v>
      </c>
      <c r="L49" s="201">
        <v>468357.6</v>
      </c>
      <c r="M49" s="29">
        <v>510980.6</v>
      </c>
      <c r="N49" s="201">
        <v>55873.1</v>
      </c>
      <c r="O49" s="202">
        <v>185464.9</v>
      </c>
      <c r="P49" s="201">
        <v>690158.9</v>
      </c>
      <c r="Q49" s="29">
        <v>244281.2</v>
      </c>
    </row>
    <row r="50" spans="1:17" s="203" customFormat="1">
      <c r="A50" s="172" t="s">
        <v>226</v>
      </c>
      <c r="B50" s="201"/>
      <c r="C50" s="202"/>
      <c r="D50" s="202"/>
      <c r="E50" s="29"/>
      <c r="F50" s="201"/>
      <c r="G50" s="29"/>
      <c r="H50" s="201"/>
      <c r="I50" s="201"/>
      <c r="J50" s="201"/>
      <c r="K50" s="29"/>
      <c r="L50" s="201"/>
      <c r="M50" s="29"/>
      <c r="N50" s="201"/>
      <c r="O50" s="202"/>
      <c r="P50" s="201"/>
      <c r="Q50" s="29"/>
    </row>
    <row r="51" spans="1:17" s="203" customFormat="1">
      <c r="A51" s="214" t="s">
        <v>70</v>
      </c>
      <c r="B51" s="201">
        <v>30801.9</v>
      </c>
      <c r="C51" s="202">
        <v>48739.8</v>
      </c>
      <c r="D51" s="202">
        <v>19219.7</v>
      </c>
      <c r="E51" s="29" t="s">
        <v>145</v>
      </c>
      <c r="F51" s="201">
        <v>40288.1</v>
      </c>
      <c r="G51" s="29">
        <v>100411.4</v>
      </c>
      <c r="H51" s="201">
        <v>31404.400000000001</v>
      </c>
      <c r="I51" s="201">
        <v>4010.4</v>
      </c>
      <c r="J51" s="201" t="s">
        <v>145</v>
      </c>
      <c r="K51" s="29" t="s">
        <v>145</v>
      </c>
      <c r="L51" s="201">
        <v>70430.7</v>
      </c>
      <c r="M51" s="29">
        <v>57481.1</v>
      </c>
      <c r="N51" s="201">
        <v>5494</v>
      </c>
      <c r="O51" s="202">
        <v>14676.8</v>
      </c>
      <c r="P51" s="201">
        <v>114348.7</v>
      </c>
      <c r="Q51" s="29" t="s">
        <v>145</v>
      </c>
    </row>
    <row r="52" spans="1:17" s="203" customFormat="1">
      <c r="A52" s="172" t="s">
        <v>230</v>
      </c>
      <c r="B52" s="201"/>
      <c r="C52" s="202"/>
      <c r="D52" s="202"/>
      <c r="E52" s="29"/>
      <c r="F52" s="201"/>
      <c r="G52" s="29"/>
      <c r="H52" s="201"/>
      <c r="I52" s="201"/>
      <c r="J52" s="201"/>
      <c r="K52" s="29"/>
      <c r="L52" s="201"/>
      <c r="M52" s="29"/>
      <c r="N52" s="201"/>
      <c r="O52" s="202"/>
      <c r="P52" s="201"/>
      <c r="Q52" s="29"/>
    </row>
    <row r="53" spans="1:17" s="203" customFormat="1">
      <c r="A53" s="214" t="s">
        <v>202</v>
      </c>
      <c r="B53" s="201">
        <v>724820.5</v>
      </c>
      <c r="C53" s="202">
        <v>106906.4</v>
      </c>
      <c r="D53" s="202">
        <v>176555.2</v>
      </c>
      <c r="E53" s="29">
        <v>21472.7</v>
      </c>
      <c r="F53" s="201">
        <v>165331.1</v>
      </c>
      <c r="G53" s="29">
        <v>467856.8</v>
      </c>
      <c r="H53" s="201">
        <v>1209138.8999999999</v>
      </c>
      <c r="I53" s="201">
        <v>141588.79999999999</v>
      </c>
      <c r="J53" s="201">
        <v>139322.5</v>
      </c>
      <c r="K53" s="29">
        <v>7599.2</v>
      </c>
      <c r="L53" s="201">
        <v>32329.200000000001</v>
      </c>
      <c r="M53" s="29">
        <v>1772614.5</v>
      </c>
      <c r="N53" s="201">
        <v>107436.9</v>
      </c>
      <c r="O53" s="202">
        <v>2940.3</v>
      </c>
      <c r="P53" s="201">
        <v>312433.5</v>
      </c>
      <c r="Q53" s="29">
        <v>16306.7</v>
      </c>
    </row>
    <row r="54" spans="1:17" s="203" customFormat="1">
      <c r="A54" s="175" t="s">
        <v>227</v>
      </c>
      <c r="B54" s="201"/>
      <c r="C54" s="202"/>
      <c r="D54" s="202"/>
      <c r="E54" s="29"/>
      <c r="F54" s="201"/>
      <c r="G54" s="29"/>
      <c r="H54" s="201"/>
      <c r="I54" s="201"/>
      <c r="J54" s="201"/>
      <c r="K54" s="29"/>
      <c r="L54" s="201"/>
      <c r="M54" s="29"/>
      <c r="N54" s="201"/>
      <c r="O54" s="202"/>
      <c r="P54" s="201"/>
      <c r="Q54" s="29"/>
    </row>
    <row r="55" spans="1:17" s="203" customFormat="1">
      <c r="A55" s="214" t="s">
        <v>71</v>
      </c>
      <c r="B55" s="201">
        <v>24791.8</v>
      </c>
      <c r="C55" s="202">
        <v>13417.9</v>
      </c>
      <c r="D55" s="202">
        <v>20695.7</v>
      </c>
      <c r="E55" s="29" t="s">
        <v>145</v>
      </c>
      <c r="F55" s="201">
        <v>9888.2999999999993</v>
      </c>
      <c r="G55" s="29">
        <v>30386.2</v>
      </c>
      <c r="H55" s="201">
        <v>137477.6</v>
      </c>
      <c r="I55" s="201">
        <v>6343</v>
      </c>
      <c r="J55" s="201">
        <v>18740.8</v>
      </c>
      <c r="K55" s="29">
        <v>11216.6</v>
      </c>
      <c r="L55" s="201">
        <v>29170.9</v>
      </c>
      <c r="M55" s="29">
        <v>95204.3</v>
      </c>
      <c r="N55" s="201">
        <v>4814.6000000000004</v>
      </c>
      <c r="O55" s="202">
        <v>6093.1</v>
      </c>
      <c r="P55" s="201">
        <v>17076.5</v>
      </c>
      <c r="Q55" s="29" t="s">
        <v>145</v>
      </c>
    </row>
    <row r="56" spans="1:17" s="203" customFormat="1">
      <c r="A56" s="187" t="s">
        <v>228</v>
      </c>
      <c r="B56" s="201"/>
      <c r="C56" s="202"/>
      <c r="D56" s="202"/>
      <c r="E56" s="29"/>
      <c r="F56" s="201"/>
      <c r="G56" s="29"/>
      <c r="H56" s="201"/>
      <c r="I56" s="201"/>
      <c r="J56" s="201"/>
      <c r="K56" s="29"/>
      <c r="L56" s="201"/>
      <c r="M56" s="29"/>
      <c r="N56" s="201"/>
      <c r="O56" s="202"/>
      <c r="P56" s="201"/>
      <c r="Q56" s="29"/>
    </row>
    <row r="57" spans="1:17" s="203" customFormat="1">
      <c r="A57" s="214" t="s">
        <v>203</v>
      </c>
      <c r="B57" s="201">
        <v>164327.4</v>
      </c>
      <c r="C57" s="202">
        <v>116102.6</v>
      </c>
      <c r="D57" s="202">
        <v>3043.2</v>
      </c>
      <c r="E57" s="29" t="s">
        <v>145</v>
      </c>
      <c r="F57" s="201">
        <v>17241.599999999999</v>
      </c>
      <c r="G57" s="29">
        <v>46558.2</v>
      </c>
      <c r="H57" s="201">
        <v>213677.8</v>
      </c>
      <c r="I57" s="201">
        <v>10089.799999999999</v>
      </c>
      <c r="J57" s="201">
        <v>17555.599999999999</v>
      </c>
      <c r="K57" s="29">
        <v>7557.3</v>
      </c>
      <c r="L57" s="201">
        <v>66535.100000000006</v>
      </c>
      <c r="M57" s="29">
        <v>37753.300000000003</v>
      </c>
      <c r="N57" s="201">
        <v>915.5</v>
      </c>
      <c r="O57" s="202">
        <v>13021.3</v>
      </c>
      <c r="P57" s="201">
        <v>95950.2</v>
      </c>
      <c r="Q57" s="29" t="s">
        <v>145</v>
      </c>
    </row>
    <row r="58" spans="1:17" s="203" customFormat="1">
      <c r="A58" s="215" t="s">
        <v>229</v>
      </c>
      <c r="B58" s="205"/>
      <c r="C58" s="201"/>
      <c r="D58" s="205"/>
      <c r="E58" s="201"/>
      <c r="F58" s="205"/>
      <c r="G58" s="201"/>
      <c r="H58" s="201"/>
      <c r="I58" s="201"/>
      <c r="J58" s="205"/>
      <c r="K58" s="29"/>
      <c r="L58" s="205"/>
      <c r="M58" s="29"/>
      <c r="N58" s="205"/>
      <c r="O58" s="202"/>
      <c r="P58" s="30"/>
      <c r="Q58" s="29"/>
    </row>
    <row r="59" spans="1:17" s="203" customFormat="1" ht="30" customHeight="1">
      <c r="A59" s="216"/>
      <c r="B59" s="473" t="s">
        <v>336</v>
      </c>
      <c r="C59" s="474"/>
      <c r="D59" s="474"/>
      <c r="E59" s="474"/>
      <c r="F59" s="474"/>
      <c r="G59" s="474"/>
      <c r="H59" s="474"/>
      <c r="I59" s="474"/>
      <c r="J59" s="474"/>
      <c r="K59" s="474"/>
      <c r="L59" s="474"/>
      <c r="M59" s="474"/>
      <c r="N59" s="474"/>
      <c r="O59" s="474"/>
      <c r="P59" s="474"/>
      <c r="Q59" s="474"/>
    </row>
    <row r="60" spans="1:17" s="217" customFormat="1" ht="19.149999999999999" customHeight="1">
      <c r="A60" s="164" t="s">
        <v>0</v>
      </c>
      <c r="B60" s="191">
        <v>4396401.4000000004</v>
      </c>
      <c r="C60" s="191">
        <v>2836263.1</v>
      </c>
      <c r="D60" s="191">
        <v>2327071.6</v>
      </c>
      <c r="E60" s="191">
        <v>661268.4</v>
      </c>
      <c r="F60" s="191">
        <v>2372349.2999999998</v>
      </c>
      <c r="G60" s="191">
        <v>6886758.2999999998</v>
      </c>
      <c r="H60" s="191">
        <v>18723531.800000001</v>
      </c>
      <c r="I60" s="191">
        <v>1107093.5</v>
      </c>
      <c r="J60" s="191">
        <v>2657295.1</v>
      </c>
      <c r="K60" s="191">
        <v>1987371.2</v>
      </c>
      <c r="L60" s="191">
        <v>4212052</v>
      </c>
      <c r="M60" s="191">
        <v>6098214.5999999996</v>
      </c>
      <c r="N60" s="191">
        <v>1741353.9</v>
      </c>
      <c r="O60" s="191">
        <v>1435105.9</v>
      </c>
      <c r="P60" s="191">
        <v>6465380</v>
      </c>
      <c r="Q60" s="191">
        <v>2227097</v>
      </c>
    </row>
    <row r="61" spans="1:17" s="217" customFormat="1">
      <c r="A61" s="13" t="s">
        <v>24</v>
      </c>
      <c r="B61" s="191"/>
      <c r="C61" s="192"/>
      <c r="D61" s="198"/>
      <c r="E61" s="191"/>
      <c r="F61" s="191"/>
      <c r="G61" s="191"/>
      <c r="H61" s="191"/>
      <c r="I61" s="191"/>
      <c r="J61" s="191"/>
      <c r="K61" s="191"/>
      <c r="L61" s="191"/>
      <c r="M61" s="191"/>
      <c r="N61" s="191"/>
      <c r="O61" s="191"/>
      <c r="P61" s="191"/>
      <c r="Q61" s="191"/>
    </row>
    <row r="62" spans="1:17" s="217" customFormat="1">
      <c r="A62" s="182" t="s">
        <v>206</v>
      </c>
      <c r="B62" s="191">
        <f>B64+B72</f>
        <v>1344805.4</v>
      </c>
      <c r="C62" s="192">
        <f t="shared" ref="C62:Q62" si="1">C64+C72</f>
        <v>1351843.4</v>
      </c>
      <c r="D62" s="192">
        <f t="shared" si="1"/>
        <v>1225482.2</v>
      </c>
      <c r="E62" s="192">
        <f t="shared" si="1"/>
        <v>376794.3</v>
      </c>
      <c r="F62" s="192">
        <f t="shared" si="1"/>
        <v>1279630.3999999999</v>
      </c>
      <c r="G62" s="192">
        <f>G64+G72</f>
        <v>4090818.2</v>
      </c>
      <c r="H62" s="191">
        <f t="shared" si="1"/>
        <v>9056936</v>
      </c>
      <c r="I62" s="191">
        <f>I64+I72</f>
        <v>682167</v>
      </c>
      <c r="J62" s="192">
        <f t="shared" si="1"/>
        <v>1591647.4000000001</v>
      </c>
      <c r="K62" s="192">
        <f t="shared" si="1"/>
        <v>1184592.6000000001</v>
      </c>
      <c r="L62" s="192">
        <f t="shared" si="1"/>
        <v>2261282.9</v>
      </c>
      <c r="M62" s="192">
        <f t="shared" si="1"/>
        <v>2714929.6</v>
      </c>
      <c r="N62" s="192">
        <f t="shared" si="1"/>
        <v>926642.1</v>
      </c>
      <c r="O62" s="191">
        <f t="shared" si="1"/>
        <v>962691.7</v>
      </c>
      <c r="P62" s="191">
        <f t="shared" si="1"/>
        <v>3631673.6</v>
      </c>
      <c r="Q62" s="192">
        <f t="shared" si="1"/>
        <v>965339.3</v>
      </c>
    </row>
    <row r="63" spans="1:17" s="217" customFormat="1">
      <c r="A63" s="167" t="s">
        <v>208</v>
      </c>
      <c r="B63" s="191"/>
      <c r="C63" s="192"/>
      <c r="D63" s="198"/>
      <c r="E63" s="192"/>
      <c r="F63" s="192"/>
      <c r="G63" s="192"/>
      <c r="H63" s="191"/>
      <c r="I63" s="191"/>
      <c r="J63" s="192"/>
      <c r="K63" s="192"/>
      <c r="L63" s="192"/>
      <c r="M63" s="192"/>
      <c r="N63" s="192"/>
      <c r="O63" s="191"/>
      <c r="P63" s="191"/>
      <c r="Q63" s="192"/>
    </row>
    <row r="64" spans="1:17" s="217" customFormat="1">
      <c r="A64" s="168" t="s">
        <v>58</v>
      </c>
      <c r="B64" s="191">
        <v>625726.6</v>
      </c>
      <c r="C64" s="192">
        <v>454169.7</v>
      </c>
      <c r="D64" s="193">
        <v>554247</v>
      </c>
      <c r="E64" s="191">
        <v>125830.9</v>
      </c>
      <c r="F64" s="191">
        <v>335765.2</v>
      </c>
      <c r="G64" s="191">
        <v>1589577.6</v>
      </c>
      <c r="H64" s="191">
        <v>2884881.1</v>
      </c>
      <c r="I64" s="191">
        <v>168841.5</v>
      </c>
      <c r="J64" s="191">
        <v>458611.3</v>
      </c>
      <c r="K64" s="191">
        <v>705562.4</v>
      </c>
      <c r="L64" s="191">
        <v>924271.6</v>
      </c>
      <c r="M64" s="191">
        <v>722620.8</v>
      </c>
      <c r="N64" s="191">
        <v>305704.90000000002</v>
      </c>
      <c r="O64" s="191">
        <v>384369</v>
      </c>
      <c r="P64" s="191">
        <v>919889.5</v>
      </c>
      <c r="Q64" s="191">
        <v>406572.7</v>
      </c>
    </row>
    <row r="65" spans="1:17" s="217" customFormat="1">
      <c r="A65" s="169" t="s">
        <v>207</v>
      </c>
      <c r="B65" s="191"/>
      <c r="C65" s="192"/>
      <c r="D65" s="193"/>
      <c r="E65" s="191"/>
      <c r="F65" s="191"/>
      <c r="G65" s="191"/>
      <c r="H65" s="191"/>
      <c r="I65" s="191"/>
      <c r="J65" s="191"/>
      <c r="K65" s="191"/>
      <c r="L65" s="191"/>
      <c r="M65" s="191"/>
      <c r="N65" s="191"/>
      <c r="O65" s="191"/>
      <c r="P65" s="191"/>
      <c r="Q65" s="191"/>
    </row>
    <row r="66" spans="1:17" s="203" customFormat="1">
      <c r="A66" s="170" t="s">
        <v>59</v>
      </c>
      <c r="B66" s="201">
        <v>51243</v>
      </c>
      <c r="C66" s="202">
        <v>88033.5</v>
      </c>
      <c r="D66" s="29" t="s">
        <v>145</v>
      </c>
      <c r="E66" s="201">
        <v>14570.6</v>
      </c>
      <c r="F66" s="201" t="s">
        <v>145</v>
      </c>
      <c r="G66" s="201">
        <v>234601.1</v>
      </c>
      <c r="H66" s="201">
        <v>250909.3</v>
      </c>
      <c r="I66" s="201">
        <v>37487.1</v>
      </c>
      <c r="J66" s="201">
        <v>89567.4</v>
      </c>
      <c r="K66" s="201" t="s">
        <v>145</v>
      </c>
      <c r="L66" s="201">
        <v>99203.8</v>
      </c>
      <c r="M66" s="201">
        <v>182904.6</v>
      </c>
      <c r="N66" s="201" t="s">
        <v>145</v>
      </c>
      <c r="O66" s="201">
        <v>44391.5</v>
      </c>
      <c r="P66" s="201">
        <v>164461.29999999999</v>
      </c>
      <c r="Q66" s="201">
        <v>45919.6</v>
      </c>
    </row>
    <row r="67" spans="1:17" s="203" customFormat="1">
      <c r="A67" s="172" t="s">
        <v>209</v>
      </c>
      <c r="B67" s="201"/>
      <c r="C67" s="202"/>
      <c r="D67" s="29"/>
      <c r="E67" s="201"/>
      <c r="F67" s="201"/>
      <c r="G67" s="201"/>
      <c r="H67" s="201"/>
      <c r="I67" s="201"/>
      <c r="J67" s="201"/>
      <c r="K67" s="201"/>
      <c r="L67" s="201"/>
      <c r="M67" s="201"/>
      <c r="N67" s="201"/>
      <c r="O67" s="201"/>
      <c r="P67" s="201"/>
      <c r="Q67" s="201"/>
    </row>
    <row r="68" spans="1:17" s="203" customFormat="1">
      <c r="A68" s="170" t="s">
        <v>198</v>
      </c>
      <c r="B68" s="201">
        <v>540977.4</v>
      </c>
      <c r="C68" s="202">
        <v>291629.2</v>
      </c>
      <c r="D68" s="29">
        <v>500275.7</v>
      </c>
      <c r="E68" s="201">
        <v>105141.4</v>
      </c>
      <c r="F68" s="201">
        <v>246612.4</v>
      </c>
      <c r="G68" s="201">
        <v>1211409.8</v>
      </c>
      <c r="H68" s="201">
        <v>2401772.4</v>
      </c>
      <c r="I68" s="201">
        <v>119563</v>
      </c>
      <c r="J68" s="201">
        <v>345820.4</v>
      </c>
      <c r="K68" s="201">
        <v>629807.9</v>
      </c>
      <c r="L68" s="201">
        <v>664428.80000000005</v>
      </c>
      <c r="M68" s="201">
        <v>511373.6</v>
      </c>
      <c r="N68" s="201">
        <v>265500.09999999998</v>
      </c>
      <c r="O68" s="201">
        <v>305327.5</v>
      </c>
      <c r="P68" s="201">
        <v>647256.9</v>
      </c>
      <c r="Q68" s="201">
        <v>344254.3</v>
      </c>
    </row>
    <row r="69" spans="1:17" s="203" customFormat="1">
      <c r="A69" s="175" t="s">
        <v>210</v>
      </c>
      <c r="B69" s="201"/>
      <c r="C69" s="202"/>
      <c r="D69" s="29"/>
      <c r="E69" s="201"/>
      <c r="F69" s="201"/>
      <c r="G69" s="201"/>
      <c r="H69" s="201"/>
      <c r="I69" s="201"/>
      <c r="J69" s="201"/>
      <c r="K69" s="201"/>
      <c r="L69" s="201"/>
      <c r="M69" s="201"/>
      <c r="N69" s="201"/>
      <c r="O69" s="201"/>
      <c r="P69" s="201"/>
      <c r="Q69" s="201"/>
    </row>
    <row r="70" spans="1:17" s="203" customFormat="1">
      <c r="A70" s="170" t="s">
        <v>60</v>
      </c>
      <c r="B70" s="201">
        <v>33506.199999999997</v>
      </c>
      <c r="C70" s="202">
        <v>74507</v>
      </c>
      <c r="D70" s="29" t="s">
        <v>145</v>
      </c>
      <c r="E70" s="201">
        <v>6118.9</v>
      </c>
      <c r="F70" s="201" t="s">
        <v>145</v>
      </c>
      <c r="G70" s="201">
        <v>143566.70000000001</v>
      </c>
      <c r="H70" s="201">
        <v>232199.4</v>
      </c>
      <c r="I70" s="201">
        <v>11791.4</v>
      </c>
      <c r="J70" s="201">
        <v>23223.5</v>
      </c>
      <c r="K70" s="201" t="s">
        <v>145</v>
      </c>
      <c r="L70" s="201">
        <v>160639</v>
      </c>
      <c r="M70" s="201">
        <v>28342.6</v>
      </c>
      <c r="N70" s="201" t="s">
        <v>145</v>
      </c>
      <c r="O70" s="201">
        <v>34650</v>
      </c>
      <c r="P70" s="201">
        <v>108171.3</v>
      </c>
      <c r="Q70" s="201">
        <v>16398.8</v>
      </c>
    </row>
    <row r="71" spans="1:17" s="203" customFormat="1">
      <c r="A71" s="172" t="s">
        <v>211</v>
      </c>
      <c r="B71" s="201"/>
      <c r="C71" s="202"/>
      <c r="D71" s="29"/>
      <c r="E71" s="201"/>
      <c r="F71" s="201"/>
      <c r="G71" s="201"/>
      <c r="H71" s="201"/>
      <c r="I71" s="201"/>
      <c r="J71" s="201"/>
      <c r="K71" s="201"/>
      <c r="L71" s="201"/>
      <c r="M71" s="201"/>
      <c r="N71" s="201"/>
      <c r="O71" s="201"/>
      <c r="P71" s="201"/>
      <c r="Q71" s="201"/>
    </row>
    <row r="72" spans="1:17" s="217" customFormat="1">
      <c r="A72" s="168" t="s">
        <v>61</v>
      </c>
      <c r="B72" s="191">
        <v>719078.8</v>
      </c>
      <c r="C72" s="192">
        <v>897673.7</v>
      </c>
      <c r="D72" s="193">
        <v>671235.2</v>
      </c>
      <c r="E72" s="191">
        <v>250963.4</v>
      </c>
      <c r="F72" s="191">
        <v>943865.2</v>
      </c>
      <c r="G72" s="191">
        <v>2501240.6</v>
      </c>
      <c r="H72" s="191">
        <v>6172054.9000000004</v>
      </c>
      <c r="I72" s="191">
        <v>513325.5</v>
      </c>
      <c r="J72" s="191">
        <v>1133036.1000000001</v>
      </c>
      <c r="K72" s="191">
        <v>479030.2</v>
      </c>
      <c r="L72" s="191">
        <v>1337011.3</v>
      </c>
      <c r="M72" s="191">
        <v>1992308.8</v>
      </c>
      <c r="N72" s="191">
        <v>620937.19999999995</v>
      </c>
      <c r="O72" s="191">
        <v>578322.69999999995</v>
      </c>
      <c r="P72" s="191">
        <v>2711784.1</v>
      </c>
      <c r="Q72" s="191">
        <v>558766.6</v>
      </c>
    </row>
    <row r="73" spans="1:17" s="217" customFormat="1">
      <c r="A73" s="169" t="s">
        <v>212</v>
      </c>
      <c r="B73" s="191"/>
      <c r="C73" s="192"/>
      <c r="D73" s="193"/>
      <c r="E73" s="191"/>
      <c r="F73" s="191"/>
      <c r="G73" s="191"/>
      <c r="H73" s="191"/>
      <c r="I73" s="191"/>
      <c r="J73" s="191"/>
      <c r="K73" s="191"/>
      <c r="L73" s="191"/>
      <c r="M73" s="191"/>
      <c r="N73" s="191"/>
      <c r="O73" s="191"/>
      <c r="P73" s="191"/>
      <c r="Q73" s="191"/>
    </row>
    <row r="74" spans="1:17" s="203" customFormat="1">
      <c r="A74" s="170" t="s">
        <v>193</v>
      </c>
      <c r="B74" s="201" t="s">
        <v>145</v>
      </c>
      <c r="C74" s="202">
        <v>29543.8</v>
      </c>
      <c r="D74" s="29">
        <v>15726.1</v>
      </c>
      <c r="E74" s="201">
        <v>1970.4</v>
      </c>
      <c r="F74" s="201">
        <v>5878.2</v>
      </c>
      <c r="G74" s="201">
        <v>128830.2</v>
      </c>
      <c r="H74" s="201">
        <v>363795.9</v>
      </c>
      <c r="I74" s="201" t="s">
        <v>145</v>
      </c>
      <c r="J74" s="201">
        <v>32052.1</v>
      </c>
      <c r="K74" s="201">
        <v>7372.1</v>
      </c>
      <c r="L74" s="201">
        <v>75373.3</v>
      </c>
      <c r="M74" s="201">
        <v>45947.8</v>
      </c>
      <c r="N74" s="201">
        <v>6952.2</v>
      </c>
      <c r="O74" s="201">
        <v>11490.6</v>
      </c>
      <c r="P74" s="201">
        <v>51077.9</v>
      </c>
      <c r="Q74" s="201">
        <v>148878.5</v>
      </c>
    </row>
    <row r="75" spans="1:17" s="203" customFormat="1">
      <c r="A75" s="176" t="s">
        <v>213</v>
      </c>
      <c r="B75" s="201"/>
      <c r="C75" s="202"/>
      <c r="D75" s="29"/>
      <c r="E75" s="201"/>
      <c r="F75" s="201"/>
      <c r="G75" s="201"/>
      <c r="H75" s="201"/>
      <c r="I75" s="201"/>
      <c r="J75" s="201"/>
      <c r="K75" s="201"/>
      <c r="L75" s="201"/>
      <c r="M75" s="201"/>
      <c r="N75" s="201"/>
      <c r="O75" s="201"/>
      <c r="P75" s="201"/>
      <c r="Q75" s="201"/>
    </row>
    <row r="76" spans="1:17" s="203" customFormat="1">
      <c r="A76" s="170" t="s">
        <v>62</v>
      </c>
      <c r="B76" s="201">
        <v>93031.4</v>
      </c>
      <c r="C76" s="202">
        <v>81030.8</v>
      </c>
      <c r="D76" s="29">
        <v>74119.600000000006</v>
      </c>
      <c r="E76" s="201">
        <v>19606.3</v>
      </c>
      <c r="F76" s="201">
        <v>68068.899999999994</v>
      </c>
      <c r="G76" s="201">
        <v>331529.09999999998</v>
      </c>
      <c r="H76" s="201">
        <v>1755684</v>
      </c>
      <c r="I76" s="201">
        <v>26246.6</v>
      </c>
      <c r="J76" s="201">
        <v>86970</v>
      </c>
      <c r="K76" s="201">
        <v>27024.400000000001</v>
      </c>
      <c r="L76" s="201">
        <v>95124.3</v>
      </c>
      <c r="M76" s="201">
        <v>137320.20000000001</v>
      </c>
      <c r="N76" s="201">
        <v>147632.20000000001</v>
      </c>
      <c r="O76" s="201">
        <v>23707.1</v>
      </c>
      <c r="P76" s="201">
        <v>180930.6</v>
      </c>
      <c r="Q76" s="201">
        <v>21367.7</v>
      </c>
    </row>
    <row r="77" spans="1:17" s="203" customFormat="1">
      <c r="A77" s="172" t="s">
        <v>214</v>
      </c>
      <c r="B77" s="201"/>
      <c r="C77" s="202"/>
      <c r="D77" s="29"/>
      <c r="E77" s="201"/>
      <c r="F77" s="201"/>
      <c r="G77" s="201"/>
      <c r="H77" s="201"/>
      <c r="I77" s="201"/>
      <c r="J77" s="201"/>
      <c r="K77" s="201"/>
      <c r="L77" s="201"/>
      <c r="M77" s="201"/>
      <c r="N77" s="201"/>
      <c r="O77" s="201"/>
      <c r="P77" s="201"/>
      <c r="Q77" s="201"/>
    </row>
    <row r="78" spans="1:17" s="203" customFormat="1">
      <c r="A78" s="170" t="s">
        <v>63</v>
      </c>
      <c r="B78" s="201">
        <v>157029.5</v>
      </c>
      <c r="C78" s="202">
        <v>135135.5</v>
      </c>
      <c r="D78" s="29">
        <v>113544.4</v>
      </c>
      <c r="E78" s="201">
        <v>56743.199999999997</v>
      </c>
      <c r="F78" s="201">
        <v>197096.8</v>
      </c>
      <c r="G78" s="201">
        <v>795641.3</v>
      </c>
      <c r="H78" s="201">
        <v>1025324</v>
      </c>
      <c r="I78" s="201">
        <v>128860.1</v>
      </c>
      <c r="J78" s="201">
        <v>223081</v>
      </c>
      <c r="K78" s="201">
        <v>87900.6</v>
      </c>
      <c r="L78" s="201">
        <v>393470.9</v>
      </c>
      <c r="M78" s="201">
        <v>477865.6</v>
      </c>
      <c r="N78" s="201">
        <v>105002.5</v>
      </c>
      <c r="O78" s="201">
        <v>133138.4</v>
      </c>
      <c r="P78" s="201">
        <v>585237.30000000005</v>
      </c>
      <c r="Q78" s="201">
        <v>72599.5</v>
      </c>
    </row>
    <row r="79" spans="1:17" s="203" customFormat="1">
      <c r="A79" s="172" t="s">
        <v>215</v>
      </c>
      <c r="B79" s="201"/>
      <c r="C79" s="202"/>
      <c r="D79" s="29"/>
      <c r="E79" s="201"/>
      <c r="F79" s="201"/>
      <c r="G79" s="201"/>
      <c r="H79" s="201"/>
      <c r="I79" s="201"/>
      <c r="J79" s="201"/>
      <c r="K79" s="201"/>
      <c r="L79" s="201"/>
      <c r="M79" s="201"/>
      <c r="N79" s="201"/>
      <c r="O79" s="201"/>
      <c r="P79" s="201"/>
      <c r="Q79" s="201"/>
    </row>
    <row r="80" spans="1:17" s="203" customFormat="1">
      <c r="A80" s="170" t="s">
        <v>64</v>
      </c>
      <c r="B80" s="201" t="s">
        <v>145</v>
      </c>
      <c r="C80" s="202">
        <v>3165</v>
      </c>
      <c r="D80" s="29">
        <v>3706.9</v>
      </c>
      <c r="E80" s="201" t="s">
        <v>145</v>
      </c>
      <c r="F80" s="201">
        <v>24972</v>
      </c>
      <c r="G80" s="201">
        <v>10420</v>
      </c>
      <c r="H80" s="201">
        <v>119025.8</v>
      </c>
      <c r="I80" s="201" t="s">
        <v>145</v>
      </c>
      <c r="J80" s="201">
        <v>6443.3</v>
      </c>
      <c r="K80" s="201">
        <v>3710.9</v>
      </c>
      <c r="L80" s="201">
        <v>18434.5</v>
      </c>
      <c r="M80" s="201">
        <v>8875.9</v>
      </c>
      <c r="N80" s="201">
        <v>6951.6</v>
      </c>
      <c r="O80" s="201">
        <v>2239.4</v>
      </c>
      <c r="P80" s="201">
        <v>8614.1</v>
      </c>
      <c r="Q80" s="201" t="s">
        <v>145</v>
      </c>
    </row>
    <row r="81" spans="1:17" s="203" customFormat="1">
      <c r="A81" s="177" t="s">
        <v>216</v>
      </c>
      <c r="B81" s="201"/>
      <c r="C81" s="202"/>
      <c r="D81" s="29"/>
      <c r="E81" s="201"/>
      <c r="F81" s="201"/>
      <c r="G81" s="201"/>
      <c r="H81" s="201"/>
      <c r="I81" s="201"/>
      <c r="J81" s="201"/>
      <c r="K81" s="201"/>
      <c r="L81" s="201"/>
      <c r="M81" s="201"/>
      <c r="N81" s="201"/>
      <c r="O81" s="201"/>
      <c r="P81" s="201"/>
      <c r="Q81" s="201"/>
    </row>
    <row r="82" spans="1:17" s="203" customFormat="1">
      <c r="A82" s="170" t="s">
        <v>65</v>
      </c>
      <c r="B82" s="201">
        <v>273193.59999999998</v>
      </c>
      <c r="C82" s="202">
        <v>426067.7</v>
      </c>
      <c r="D82" s="29">
        <v>343521.8</v>
      </c>
      <c r="E82" s="201">
        <v>119691.9</v>
      </c>
      <c r="F82" s="201">
        <v>541851.1</v>
      </c>
      <c r="G82" s="201">
        <v>770563.3</v>
      </c>
      <c r="H82" s="201">
        <v>1542992.2</v>
      </c>
      <c r="I82" s="201">
        <v>294239.09999999998</v>
      </c>
      <c r="J82" s="201">
        <v>614545.9</v>
      </c>
      <c r="K82" s="201">
        <v>229068.4</v>
      </c>
      <c r="L82" s="201">
        <v>518664.7</v>
      </c>
      <c r="M82" s="201">
        <v>945916.2</v>
      </c>
      <c r="N82" s="201">
        <v>198380.1</v>
      </c>
      <c r="O82" s="201">
        <v>243300.6</v>
      </c>
      <c r="P82" s="201">
        <v>1474508.3</v>
      </c>
      <c r="Q82" s="201">
        <v>209602.5</v>
      </c>
    </row>
    <row r="83" spans="1:17" s="203" customFormat="1">
      <c r="A83" s="172" t="s">
        <v>217</v>
      </c>
      <c r="B83" s="201"/>
      <c r="C83" s="202"/>
      <c r="D83" s="29"/>
      <c r="E83" s="201"/>
      <c r="F83" s="201"/>
      <c r="G83" s="201"/>
      <c r="H83" s="201"/>
      <c r="I83" s="201"/>
      <c r="J83" s="201"/>
      <c r="K83" s="201"/>
      <c r="L83" s="201"/>
      <c r="M83" s="201"/>
      <c r="N83" s="201"/>
      <c r="O83" s="201"/>
      <c r="P83" s="201"/>
      <c r="Q83" s="201"/>
    </row>
    <row r="84" spans="1:17" s="203" customFormat="1" ht="38.25">
      <c r="A84" s="178" t="s">
        <v>194</v>
      </c>
      <c r="B84" s="201">
        <v>127985.4</v>
      </c>
      <c r="C84" s="202">
        <v>171792.7</v>
      </c>
      <c r="D84" s="29">
        <v>98803.5</v>
      </c>
      <c r="E84" s="201" t="s">
        <v>145</v>
      </c>
      <c r="F84" s="201">
        <v>94836.6</v>
      </c>
      <c r="G84" s="201">
        <v>359862.6</v>
      </c>
      <c r="H84" s="201">
        <v>979529.3</v>
      </c>
      <c r="I84" s="201">
        <v>50118.2</v>
      </c>
      <c r="J84" s="201">
        <v>163247.5</v>
      </c>
      <c r="K84" s="201">
        <v>79795.600000000006</v>
      </c>
      <c r="L84" s="201">
        <v>167281.60000000001</v>
      </c>
      <c r="M84" s="201">
        <v>339125.9</v>
      </c>
      <c r="N84" s="201">
        <v>125007.9</v>
      </c>
      <c r="O84" s="201">
        <v>59544.6</v>
      </c>
      <c r="P84" s="201">
        <v>302094.90000000002</v>
      </c>
      <c r="Q84" s="201" t="s">
        <v>145</v>
      </c>
    </row>
    <row r="85" spans="1:17" s="203" customFormat="1" ht="25.5">
      <c r="A85" s="180" t="s">
        <v>218</v>
      </c>
      <c r="B85" s="201"/>
      <c r="C85" s="202"/>
      <c r="D85" s="29"/>
      <c r="E85" s="201"/>
      <c r="F85" s="201"/>
      <c r="G85" s="201"/>
      <c r="H85" s="201"/>
      <c r="I85" s="201"/>
      <c r="J85" s="201"/>
      <c r="K85" s="201"/>
      <c r="L85" s="201"/>
      <c r="M85" s="201"/>
      <c r="N85" s="201"/>
      <c r="O85" s="201"/>
      <c r="P85" s="201"/>
      <c r="Q85" s="201"/>
    </row>
    <row r="86" spans="1:17">
      <c r="A86" s="170" t="s">
        <v>66</v>
      </c>
      <c r="B86" s="201">
        <v>37714.800000000003</v>
      </c>
      <c r="C86" s="202">
        <v>50938.2</v>
      </c>
      <c r="D86" s="29">
        <v>21812.9</v>
      </c>
      <c r="E86" s="201" t="s">
        <v>145</v>
      </c>
      <c r="F86" s="201">
        <v>11161.6</v>
      </c>
      <c r="G86" s="201">
        <v>104394.1</v>
      </c>
      <c r="H86" s="201">
        <v>385703.7</v>
      </c>
      <c r="I86" s="201">
        <v>7164.2</v>
      </c>
      <c r="J86" s="201">
        <v>6696.3</v>
      </c>
      <c r="K86" s="201">
        <v>44158.2</v>
      </c>
      <c r="L86" s="201">
        <v>68662</v>
      </c>
      <c r="M86" s="201">
        <v>37257.199999999997</v>
      </c>
      <c r="N86" s="201">
        <v>31010.7</v>
      </c>
      <c r="O86" s="201">
        <v>104902</v>
      </c>
      <c r="P86" s="201">
        <v>109321</v>
      </c>
      <c r="Q86" s="201" t="s">
        <v>145</v>
      </c>
    </row>
    <row r="87" spans="1:17">
      <c r="A87" s="181" t="s">
        <v>229</v>
      </c>
      <c r="B87" s="201"/>
      <c r="C87" s="202"/>
      <c r="D87" s="29"/>
      <c r="E87" s="201"/>
      <c r="F87" s="201"/>
      <c r="G87" s="201"/>
      <c r="H87" s="201"/>
      <c r="I87" s="201"/>
      <c r="J87" s="201"/>
      <c r="K87" s="201"/>
      <c r="L87" s="201"/>
      <c r="M87" s="201"/>
      <c r="N87" s="201"/>
      <c r="O87" s="201"/>
      <c r="P87" s="201"/>
      <c r="Q87" s="201"/>
    </row>
    <row r="88" spans="1:17" s="218" customFormat="1">
      <c r="A88" s="182" t="s">
        <v>67</v>
      </c>
      <c r="B88" s="191">
        <v>3051596</v>
      </c>
      <c r="C88" s="198">
        <v>1484419.7</v>
      </c>
      <c r="D88" s="191">
        <v>1101589.3999999999</v>
      </c>
      <c r="E88" s="192">
        <v>284474.09999999998</v>
      </c>
      <c r="F88" s="191">
        <v>1092718.8999999999</v>
      </c>
      <c r="G88" s="191">
        <v>2795940.1</v>
      </c>
      <c r="H88" s="191">
        <v>9666595.8000000007</v>
      </c>
      <c r="I88" s="191">
        <v>424926.5</v>
      </c>
      <c r="J88" s="191">
        <v>1065647.7</v>
      </c>
      <c r="K88" s="191">
        <v>802778.6</v>
      </c>
      <c r="L88" s="191">
        <v>1950769.1</v>
      </c>
      <c r="M88" s="191">
        <v>3383285</v>
      </c>
      <c r="N88" s="191">
        <v>814711.8</v>
      </c>
      <c r="O88" s="191">
        <v>472414.2</v>
      </c>
      <c r="P88" s="191">
        <v>2833706.4</v>
      </c>
      <c r="Q88" s="191">
        <v>1261757.7</v>
      </c>
    </row>
    <row r="89" spans="1:17" s="218" customFormat="1">
      <c r="A89" s="167" t="s">
        <v>26</v>
      </c>
      <c r="B89" s="191"/>
      <c r="C89" s="198"/>
      <c r="D89" s="191"/>
      <c r="E89" s="192"/>
      <c r="F89" s="191"/>
      <c r="G89" s="191"/>
      <c r="H89" s="191"/>
      <c r="I89" s="191"/>
      <c r="J89" s="191"/>
      <c r="K89" s="191"/>
      <c r="L89" s="191"/>
      <c r="M89" s="191"/>
      <c r="N89" s="191"/>
      <c r="O89" s="191"/>
      <c r="P89" s="191"/>
      <c r="Q89" s="191"/>
    </row>
    <row r="90" spans="1:17">
      <c r="A90" s="170" t="s">
        <v>195</v>
      </c>
      <c r="B90" s="201" t="s">
        <v>145</v>
      </c>
      <c r="C90" s="205">
        <v>825178.2</v>
      </c>
      <c r="D90" s="201">
        <v>432885</v>
      </c>
      <c r="E90" s="202">
        <v>92298.2</v>
      </c>
      <c r="F90" s="201">
        <v>501930.4</v>
      </c>
      <c r="G90" s="201">
        <v>748168.4</v>
      </c>
      <c r="H90" s="201">
        <v>4978478.7</v>
      </c>
      <c r="I90" s="201" t="s">
        <v>145</v>
      </c>
      <c r="J90" s="201">
        <v>462629</v>
      </c>
      <c r="K90" s="201">
        <v>538669.5</v>
      </c>
      <c r="L90" s="201" t="s">
        <v>145</v>
      </c>
      <c r="M90" s="201">
        <v>841734.8</v>
      </c>
      <c r="N90" s="201">
        <v>401672.9</v>
      </c>
      <c r="O90" s="201" t="s">
        <v>145</v>
      </c>
      <c r="P90" s="201">
        <v>822487</v>
      </c>
      <c r="Q90" s="201">
        <v>777911.2</v>
      </c>
    </row>
    <row r="91" spans="1:17">
      <c r="A91" s="175" t="s">
        <v>221</v>
      </c>
      <c r="B91" s="201"/>
      <c r="C91" s="205"/>
      <c r="D91" s="201"/>
      <c r="E91" s="202"/>
      <c r="F91" s="201"/>
      <c r="G91" s="201"/>
      <c r="H91" s="201"/>
      <c r="I91" s="201"/>
      <c r="J91" s="201"/>
      <c r="K91" s="201"/>
      <c r="L91" s="201"/>
      <c r="M91" s="201"/>
      <c r="N91" s="201"/>
      <c r="O91" s="201"/>
      <c r="P91" s="201"/>
      <c r="Q91" s="201"/>
    </row>
    <row r="92" spans="1:17" ht="25.5">
      <c r="A92" s="178" t="s">
        <v>199</v>
      </c>
      <c r="B92" s="201" t="s">
        <v>145</v>
      </c>
      <c r="C92" s="205" t="s">
        <v>145</v>
      </c>
      <c r="D92" s="201" t="s">
        <v>145</v>
      </c>
      <c r="E92" s="202" t="s">
        <v>145</v>
      </c>
      <c r="F92" s="201" t="s">
        <v>145</v>
      </c>
      <c r="G92" s="201" t="s">
        <v>145</v>
      </c>
      <c r="H92" s="201">
        <v>1253854.6000000001</v>
      </c>
      <c r="I92" s="201" t="s">
        <v>145</v>
      </c>
      <c r="J92" s="201">
        <v>2289.6</v>
      </c>
      <c r="K92" s="201" t="s">
        <v>145</v>
      </c>
      <c r="L92" s="201" t="s">
        <v>145</v>
      </c>
      <c r="M92" s="201">
        <v>131950.39999999999</v>
      </c>
      <c r="N92" s="201" t="s">
        <v>145</v>
      </c>
      <c r="O92" s="201" t="s">
        <v>145</v>
      </c>
      <c r="P92" s="201">
        <v>702859.9</v>
      </c>
      <c r="Q92" s="201" t="s">
        <v>145</v>
      </c>
    </row>
    <row r="93" spans="1:17">
      <c r="A93" s="172" t="s">
        <v>220</v>
      </c>
      <c r="B93" s="201"/>
      <c r="C93" s="205"/>
      <c r="D93" s="201"/>
      <c r="E93" s="202"/>
      <c r="F93" s="201"/>
      <c r="G93" s="201"/>
      <c r="H93" s="201"/>
      <c r="I93" s="201"/>
      <c r="J93" s="201"/>
      <c r="K93" s="201"/>
      <c r="L93" s="201"/>
      <c r="M93" s="201"/>
      <c r="N93" s="201"/>
      <c r="O93" s="201"/>
      <c r="P93" s="201"/>
      <c r="Q93" s="201"/>
    </row>
    <row r="94" spans="1:17">
      <c r="A94" s="170" t="s">
        <v>68</v>
      </c>
      <c r="B94" s="201" t="s">
        <v>148</v>
      </c>
      <c r="C94" s="205" t="s">
        <v>148</v>
      </c>
      <c r="D94" s="201" t="s">
        <v>145</v>
      </c>
      <c r="E94" s="202" t="s">
        <v>148</v>
      </c>
      <c r="F94" s="201">
        <v>151.19999999999999</v>
      </c>
      <c r="G94" s="201" t="s">
        <v>145</v>
      </c>
      <c r="H94" s="201">
        <v>70872.600000000006</v>
      </c>
      <c r="I94" s="201" t="s">
        <v>148</v>
      </c>
      <c r="J94" s="201">
        <v>321.7</v>
      </c>
      <c r="K94" s="201" t="s">
        <v>148</v>
      </c>
      <c r="L94" s="201" t="s">
        <v>145</v>
      </c>
      <c r="M94" s="201" t="s">
        <v>145</v>
      </c>
      <c r="N94" s="201" t="s">
        <v>148</v>
      </c>
      <c r="O94" s="201" t="s">
        <v>145</v>
      </c>
      <c r="P94" s="201">
        <v>23349.1</v>
      </c>
      <c r="Q94" s="201">
        <v>43.6</v>
      </c>
    </row>
    <row r="95" spans="1:17">
      <c r="A95" s="172" t="s">
        <v>222</v>
      </c>
      <c r="B95" s="201"/>
      <c r="C95" s="205"/>
      <c r="D95" s="201"/>
      <c r="E95" s="202"/>
      <c r="F95" s="201"/>
      <c r="G95" s="201"/>
      <c r="H95" s="201"/>
      <c r="I95" s="201"/>
      <c r="J95" s="201"/>
      <c r="K95" s="201"/>
      <c r="L95" s="201"/>
      <c r="M95" s="201"/>
      <c r="N95" s="201"/>
      <c r="O95" s="201"/>
      <c r="P95" s="201"/>
      <c r="Q95" s="201"/>
    </row>
    <row r="96" spans="1:17" ht="25.5">
      <c r="A96" s="178" t="s">
        <v>197</v>
      </c>
      <c r="B96" s="201" t="s">
        <v>145</v>
      </c>
      <c r="C96" s="205" t="s">
        <v>145</v>
      </c>
      <c r="D96" s="201">
        <v>6806.1</v>
      </c>
      <c r="E96" s="202" t="s">
        <v>148</v>
      </c>
      <c r="F96" s="201" t="s">
        <v>145</v>
      </c>
      <c r="G96" s="201">
        <v>306357.5</v>
      </c>
      <c r="H96" s="201">
        <v>760827.5</v>
      </c>
      <c r="I96" s="201" t="s">
        <v>145</v>
      </c>
      <c r="J96" s="201">
        <v>56637.5</v>
      </c>
      <c r="K96" s="201" t="s">
        <v>145</v>
      </c>
      <c r="L96" s="201" t="s">
        <v>145</v>
      </c>
      <c r="M96" s="201">
        <v>422363.7</v>
      </c>
      <c r="N96" s="201" t="s">
        <v>145</v>
      </c>
      <c r="O96" s="201">
        <v>2065</v>
      </c>
      <c r="P96" s="201" t="s">
        <v>145</v>
      </c>
      <c r="Q96" s="201" t="s">
        <v>145</v>
      </c>
    </row>
    <row r="97" spans="1:17">
      <c r="A97" s="180" t="s">
        <v>223</v>
      </c>
      <c r="B97" s="201"/>
      <c r="C97" s="205"/>
      <c r="D97" s="201"/>
      <c r="E97" s="202"/>
      <c r="F97" s="201"/>
      <c r="G97" s="201"/>
      <c r="H97" s="201"/>
      <c r="I97" s="201"/>
      <c r="J97" s="201"/>
      <c r="K97" s="201"/>
      <c r="L97" s="201"/>
      <c r="M97" s="201"/>
      <c r="N97" s="201"/>
      <c r="O97" s="201"/>
      <c r="P97" s="201"/>
      <c r="Q97" s="201"/>
    </row>
    <row r="98" spans="1:17">
      <c r="A98" s="178" t="s">
        <v>69</v>
      </c>
      <c r="B98" s="201" t="s">
        <v>145</v>
      </c>
      <c r="C98" s="205" t="s">
        <v>145</v>
      </c>
      <c r="D98" s="201" t="s">
        <v>145</v>
      </c>
      <c r="E98" s="202" t="s">
        <v>145</v>
      </c>
      <c r="F98" s="201" t="s">
        <v>145</v>
      </c>
      <c r="G98" s="201" t="s">
        <v>145</v>
      </c>
      <c r="H98" s="201">
        <v>207653.8</v>
      </c>
      <c r="I98" s="201" t="s">
        <v>145</v>
      </c>
      <c r="J98" s="201">
        <v>10040.1</v>
      </c>
      <c r="K98" s="201" t="s">
        <v>145</v>
      </c>
      <c r="L98" s="201" t="s">
        <v>145</v>
      </c>
      <c r="M98" s="201" t="s">
        <v>145</v>
      </c>
      <c r="N98" s="201" t="s">
        <v>145</v>
      </c>
      <c r="O98" s="201" t="s">
        <v>145</v>
      </c>
      <c r="P98" s="201" t="s">
        <v>145</v>
      </c>
      <c r="Q98" s="201">
        <v>42804.6</v>
      </c>
    </row>
    <row r="99" spans="1:17">
      <c r="A99" s="183" t="s">
        <v>224</v>
      </c>
      <c r="B99" s="201"/>
      <c r="C99" s="205"/>
      <c r="D99" s="201"/>
      <c r="E99" s="202"/>
      <c r="F99" s="201"/>
      <c r="G99" s="201"/>
      <c r="H99" s="201"/>
      <c r="I99" s="201"/>
      <c r="J99" s="201"/>
      <c r="K99" s="201"/>
      <c r="L99" s="201"/>
      <c r="M99" s="201"/>
      <c r="N99" s="201"/>
      <c r="O99" s="201"/>
      <c r="P99" s="201"/>
      <c r="Q99" s="201"/>
    </row>
    <row r="100" spans="1:17" ht="25.5">
      <c r="A100" s="184" t="s">
        <v>200</v>
      </c>
      <c r="B100" s="201">
        <v>311448.40000000002</v>
      </c>
      <c r="C100" s="205">
        <v>180293.7</v>
      </c>
      <c r="D100" s="201">
        <v>260605.2</v>
      </c>
      <c r="E100" s="202">
        <v>44397.9</v>
      </c>
      <c r="F100" s="201">
        <v>181502.1</v>
      </c>
      <c r="G100" s="201">
        <v>277714.40000000002</v>
      </c>
      <c r="H100" s="201">
        <v>593892.19999999995</v>
      </c>
      <c r="I100" s="201">
        <v>56538</v>
      </c>
      <c r="J100" s="201">
        <v>218503.1</v>
      </c>
      <c r="K100" s="201">
        <v>126048.9</v>
      </c>
      <c r="L100" s="201">
        <v>713684</v>
      </c>
      <c r="M100" s="201">
        <v>398920</v>
      </c>
      <c r="N100" s="201">
        <v>128274.6</v>
      </c>
      <c r="O100" s="201">
        <v>91104.2</v>
      </c>
      <c r="P100" s="201">
        <v>339374.2</v>
      </c>
      <c r="Q100" s="201">
        <v>158340.79999999999</v>
      </c>
    </row>
    <row r="101" spans="1:17" ht="25.5">
      <c r="A101" s="185" t="s">
        <v>225</v>
      </c>
      <c r="B101" s="201"/>
      <c r="C101" s="205"/>
      <c r="D101" s="201"/>
      <c r="E101" s="202"/>
      <c r="F101" s="201"/>
      <c r="G101" s="201"/>
      <c r="H101" s="201"/>
      <c r="I101" s="201"/>
      <c r="J101" s="201"/>
      <c r="K101" s="201"/>
      <c r="L101" s="201"/>
      <c r="M101" s="201"/>
      <c r="N101" s="201"/>
      <c r="O101" s="201"/>
      <c r="P101" s="201"/>
      <c r="Q101" s="201"/>
    </row>
    <row r="102" spans="1:17">
      <c r="A102" s="184" t="s">
        <v>201</v>
      </c>
      <c r="B102" s="201">
        <v>260152.3</v>
      </c>
      <c r="C102" s="205">
        <v>236335.4</v>
      </c>
      <c r="D102" s="201">
        <v>152388.70000000001</v>
      </c>
      <c r="E102" s="202">
        <v>95931</v>
      </c>
      <c r="F102" s="201">
        <v>153181.1</v>
      </c>
      <c r="G102" s="201">
        <v>410092.4</v>
      </c>
      <c r="H102" s="201">
        <v>510135.8</v>
      </c>
      <c r="I102" s="201">
        <v>52935.6</v>
      </c>
      <c r="J102" s="201">
        <v>174703.1</v>
      </c>
      <c r="K102" s="201">
        <v>111042</v>
      </c>
      <c r="L102" s="201">
        <v>381699.4</v>
      </c>
      <c r="M102" s="201">
        <v>306847.8</v>
      </c>
      <c r="N102" s="201">
        <v>53578.3</v>
      </c>
      <c r="O102" s="201">
        <v>172457.9</v>
      </c>
      <c r="P102" s="201">
        <v>578705.9</v>
      </c>
      <c r="Q102" s="201">
        <v>157810.5</v>
      </c>
    </row>
    <row r="103" spans="1:17">
      <c r="A103" s="172" t="s">
        <v>226</v>
      </c>
      <c r="B103" s="201"/>
      <c r="C103" s="205"/>
      <c r="D103" s="201"/>
      <c r="E103" s="202"/>
      <c r="F103" s="201"/>
      <c r="G103" s="201"/>
      <c r="H103" s="201"/>
      <c r="I103" s="201"/>
      <c r="J103" s="201"/>
      <c r="K103" s="201"/>
      <c r="L103" s="201"/>
      <c r="M103" s="201"/>
      <c r="N103" s="201"/>
      <c r="O103" s="201"/>
      <c r="P103" s="201"/>
      <c r="Q103" s="201"/>
    </row>
    <row r="104" spans="1:17">
      <c r="A104" s="186" t="s">
        <v>70</v>
      </c>
      <c r="B104" s="201" t="s">
        <v>145</v>
      </c>
      <c r="C104" s="205">
        <v>25659.4</v>
      </c>
      <c r="D104" s="201">
        <v>14947.7</v>
      </c>
      <c r="E104" s="202" t="s">
        <v>145</v>
      </c>
      <c r="F104" s="201">
        <v>37418.699999999997</v>
      </c>
      <c r="G104" s="201">
        <v>71317.8</v>
      </c>
      <c r="H104" s="201">
        <v>26297.5</v>
      </c>
      <c r="I104" s="201" t="s">
        <v>145</v>
      </c>
      <c r="J104" s="201" t="s">
        <v>145</v>
      </c>
      <c r="K104" s="201" t="s">
        <v>145</v>
      </c>
      <c r="L104" s="201" t="s">
        <v>145</v>
      </c>
      <c r="M104" s="201">
        <v>43615.199999999997</v>
      </c>
      <c r="N104" s="201">
        <v>4699.2</v>
      </c>
      <c r="O104" s="201" t="s">
        <v>145</v>
      </c>
      <c r="P104" s="201">
        <v>68312.3</v>
      </c>
      <c r="Q104" s="201" t="s">
        <v>145</v>
      </c>
    </row>
    <row r="105" spans="1:17">
      <c r="A105" s="172" t="s">
        <v>230</v>
      </c>
      <c r="B105" s="201"/>
      <c r="C105" s="205"/>
      <c r="D105" s="201"/>
      <c r="E105" s="202"/>
      <c r="F105" s="201"/>
      <c r="G105" s="201"/>
      <c r="H105" s="201"/>
      <c r="I105" s="201"/>
      <c r="J105" s="201"/>
      <c r="K105" s="201"/>
      <c r="L105" s="201"/>
      <c r="M105" s="201"/>
      <c r="N105" s="201"/>
      <c r="O105" s="201"/>
      <c r="P105" s="201"/>
      <c r="Q105" s="201"/>
    </row>
    <row r="106" spans="1:17" ht="12.75" customHeight="1">
      <c r="A106" s="186" t="s">
        <v>202</v>
      </c>
      <c r="B106" s="201">
        <v>648473.69999999995</v>
      </c>
      <c r="C106" s="205">
        <v>55038.3</v>
      </c>
      <c r="D106" s="201" t="s">
        <v>145</v>
      </c>
      <c r="E106" s="202">
        <v>7014.1</v>
      </c>
      <c r="F106" s="201" t="s">
        <v>145</v>
      </c>
      <c r="G106" s="201">
        <v>396762.9</v>
      </c>
      <c r="H106" s="201">
        <v>972685.5</v>
      </c>
      <c r="I106" s="201">
        <v>113297.9</v>
      </c>
      <c r="J106" s="201" t="s">
        <v>145</v>
      </c>
      <c r="K106" s="201">
        <v>7599.2</v>
      </c>
      <c r="L106" s="201">
        <v>24090.6</v>
      </c>
      <c r="M106" s="201">
        <v>1032581.8</v>
      </c>
      <c r="N106" s="201" t="s">
        <v>145</v>
      </c>
      <c r="O106" s="201" t="s">
        <v>145</v>
      </c>
      <c r="P106" s="201">
        <v>211263.2</v>
      </c>
      <c r="Q106" s="201">
        <v>7316.2</v>
      </c>
    </row>
    <row r="107" spans="1:17" ht="12.75" customHeight="1">
      <c r="A107" s="175" t="s">
        <v>227</v>
      </c>
      <c r="B107" s="201"/>
      <c r="C107" s="205"/>
      <c r="D107" s="201"/>
      <c r="E107" s="202"/>
      <c r="F107" s="201"/>
      <c r="G107" s="201"/>
      <c r="H107" s="201"/>
      <c r="I107" s="201"/>
      <c r="J107" s="201"/>
      <c r="K107" s="201"/>
      <c r="L107" s="201"/>
      <c r="M107" s="201"/>
      <c r="N107" s="201"/>
      <c r="O107" s="201"/>
      <c r="P107" s="201"/>
      <c r="Q107" s="201"/>
    </row>
    <row r="108" spans="1:17">
      <c r="A108" s="186" t="s">
        <v>71</v>
      </c>
      <c r="B108" s="201" t="s">
        <v>145</v>
      </c>
      <c r="C108" s="205">
        <v>9914.9</v>
      </c>
      <c r="D108" s="201">
        <v>18737.400000000001</v>
      </c>
      <c r="E108" s="202" t="s">
        <v>145</v>
      </c>
      <c r="F108" s="201" t="s">
        <v>145</v>
      </c>
      <c r="G108" s="201">
        <v>21155.9</v>
      </c>
      <c r="H108" s="201">
        <v>131527.9</v>
      </c>
      <c r="I108" s="201" t="s">
        <v>145</v>
      </c>
      <c r="J108" s="201">
        <v>16168.6</v>
      </c>
      <c r="K108" s="201">
        <v>10629</v>
      </c>
      <c r="L108" s="201">
        <v>26455.1</v>
      </c>
      <c r="M108" s="201">
        <v>78070.2</v>
      </c>
      <c r="N108" s="201" t="s">
        <v>145</v>
      </c>
      <c r="O108" s="201" t="s">
        <v>145</v>
      </c>
      <c r="P108" s="201" t="s">
        <v>145</v>
      </c>
      <c r="Q108" s="201" t="s">
        <v>145</v>
      </c>
    </row>
    <row r="109" spans="1:17">
      <c r="A109" s="187" t="s">
        <v>228</v>
      </c>
      <c r="B109" s="201"/>
      <c r="C109" s="205"/>
      <c r="D109" s="201"/>
      <c r="E109" s="202"/>
      <c r="F109" s="201"/>
      <c r="G109" s="201"/>
      <c r="H109" s="201"/>
      <c r="I109" s="201"/>
      <c r="J109" s="201"/>
      <c r="K109" s="201"/>
      <c r="L109" s="201"/>
      <c r="M109" s="201"/>
      <c r="N109" s="201"/>
      <c r="O109" s="201"/>
      <c r="P109" s="201"/>
      <c r="Q109" s="201"/>
    </row>
    <row r="110" spans="1:17">
      <c r="A110" s="186" t="s">
        <v>203</v>
      </c>
      <c r="B110" s="201" t="s">
        <v>145</v>
      </c>
      <c r="C110" s="205">
        <v>109988</v>
      </c>
      <c r="D110" s="201" t="s">
        <v>145</v>
      </c>
      <c r="E110" s="202" t="s">
        <v>145</v>
      </c>
      <c r="F110" s="201">
        <v>10704.5</v>
      </c>
      <c r="G110" s="201">
        <v>33680.800000000003</v>
      </c>
      <c r="H110" s="201">
        <v>186667.2</v>
      </c>
      <c r="I110" s="201" t="s">
        <v>145</v>
      </c>
      <c r="J110" s="201" t="s">
        <v>145</v>
      </c>
      <c r="K110" s="201">
        <v>5690</v>
      </c>
      <c r="L110" s="201">
        <v>29157.9</v>
      </c>
      <c r="M110" s="201">
        <v>33225.300000000003</v>
      </c>
      <c r="N110" s="201">
        <v>915.5</v>
      </c>
      <c r="O110" s="201">
        <v>7322.1</v>
      </c>
      <c r="P110" s="201" t="s">
        <v>145</v>
      </c>
      <c r="Q110" s="201" t="s">
        <v>145</v>
      </c>
    </row>
    <row r="111" spans="1:17">
      <c r="A111" s="181" t="s">
        <v>231</v>
      </c>
      <c r="B111" s="201"/>
      <c r="C111" s="29"/>
      <c r="D111" s="219"/>
      <c r="F111" s="219"/>
      <c r="H111" s="219"/>
      <c r="I111" s="219"/>
      <c r="J111" s="219"/>
      <c r="L111" s="219"/>
      <c r="N111" s="219"/>
      <c r="O111" s="219"/>
      <c r="P111" s="219"/>
      <c r="Q111" s="220"/>
    </row>
    <row r="112" spans="1:17">
      <c r="A112" s="221"/>
      <c r="B112" s="222"/>
      <c r="C112" s="223"/>
    </row>
    <row r="113" spans="1:3">
      <c r="A113" s="224"/>
      <c r="B113" s="222"/>
      <c r="C113" s="223"/>
    </row>
  </sheetData>
  <mergeCells count="21">
    <mergeCell ref="G4:G5"/>
    <mergeCell ref="H4:H5"/>
    <mergeCell ref="I4:I5"/>
    <mergeCell ref="B4:B5"/>
    <mergeCell ref="C4:C5"/>
    <mergeCell ref="B59:Q59"/>
    <mergeCell ref="N4:N5"/>
    <mergeCell ref="O4:O5"/>
    <mergeCell ref="A2:Q2"/>
    <mergeCell ref="P4:P5"/>
    <mergeCell ref="Q4:Q5"/>
    <mergeCell ref="A4:A5"/>
    <mergeCell ref="B6:Q6"/>
    <mergeCell ref="A3:Q3"/>
    <mergeCell ref="J4:J5"/>
    <mergeCell ref="K4:K5"/>
    <mergeCell ref="L4:L5"/>
    <mergeCell ref="M4:M5"/>
    <mergeCell ref="D4:D5"/>
    <mergeCell ref="E4:E5"/>
    <mergeCell ref="F4:F5"/>
  </mergeCells>
  <pageMargins left="0.70866141732283472" right="0.70866141732283472" top="0.74803149606299213" bottom="0.74803149606299213" header="0.31496062992125984" footer="0.31496062992125984"/>
  <pageSetup paperSize="9" scale="91" orientation="landscape" r:id="rId1"/>
  <rowBreaks count="3" manualBreakCount="3">
    <brk id="34" max="16383" man="1"/>
    <brk id="58" max="16383" man="1"/>
    <brk id="87" max="16383" man="1"/>
  </rowBreaks>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0"/>
  <sheetViews>
    <sheetView zoomScaleNormal="100" workbookViewId="0">
      <pane ySplit="6" topLeftCell="A7" activePane="bottomLeft" state="frozen"/>
      <selection pane="bottomLeft"/>
    </sheetView>
  </sheetViews>
  <sheetFormatPr defaultColWidth="9.140625" defaultRowHeight="12.75"/>
  <cols>
    <col min="1" max="1" width="61.5703125" style="70" bestFit="1" customWidth="1"/>
    <col min="2" max="11" width="13.85546875" style="70" customWidth="1"/>
    <col min="12" max="16384" width="9.140625" style="70"/>
  </cols>
  <sheetData>
    <row r="2" spans="1:17" ht="30" customHeight="1">
      <c r="A2" s="471" t="s">
        <v>357</v>
      </c>
      <c r="B2" s="471"/>
      <c r="C2" s="471"/>
      <c r="D2" s="471"/>
      <c r="E2" s="471"/>
      <c r="F2" s="471"/>
      <c r="G2" s="471"/>
      <c r="H2" s="471"/>
      <c r="I2" s="471"/>
      <c r="J2" s="471"/>
      <c r="K2" s="471"/>
    </row>
    <row r="3" spans="1:17" s="363" customFormat="1" ht="27.75" customHeight="1">
      <c r="A3" s="488" t="s">
        <v>250</v>
      </c>
      <c r="B3" s="489"/>
      <c r="C3" s="489"/>
      <c r="D3" s="489"/>
      <c r="E3" s="489"/>
      <c r="F3" s="489"/>
      <c r="G3" s="489"/>
      <c r="H3" s="489"/>
      <c r="I3" s="489"/>
      <c r="J3" s="489"/>
      <c r="K3" s="489"/>
    </row>
    <row r="4" spans="1:17" ht="24.75" customHeight="1">
      <c r="A4" s="454" t="s">
        <v>284</v>
      </c>
      <c r="B4" s="468" t="s">
        <v>305</v>
      </c>
      <c r="C4" s="465"/>
      <c r="D4" s="465"/>
      <c r="E4" s="465"/>
      <c r="F4" s="485"/>
      <c r="G4" s="468" t="s">
        <v>323</v>
      </c>
      <c r="H4" s="465"/>
      <c r="I4" s="465"/>
      <c r="J4" s="465"/>
      <c r="K4" s="465"/>
    </row>
    <row r="5" spans="1:17" ht="18" customHeight="1">
      <c r="A5" s="456"/>
      <c r="B5" s="226">
        <v>2013</v>
      </c>
      <c r="C5" s="226">
        <v>2014</v>
      </c>
      <c r="D5" s="226">
        <v>2015</v>
      </c>
      <c r="E5" s="226">
        <v>2016</v>
      </c>
      <c r="F5" s="226">
        <v>2017</v>
      </c>
      <c r="G5" s="226">
        <v>2013</v>
      </c>
      <c r="H5" s="226">
        <v>2014</v>
      </c>
      <c r="I5" s="226">
        <v>2015</v>
      </c>
      <c r="J5" s="226">
        <v>2016</v>
      </c>
      <c r="K5" s="359">
        <v>2017</v>
      </c>
      <c r="L5" s="78"/>
    </row>
    <row r="6" spans="1:17" ht="29.25" customHeight="1" thickBot="1">
      <c r="A6" s="458"/>
      <c r="B6" s="486" t="s">
        <v>302</v>
      </c>
      <c r="C6" s="487"/>
      <c r="D6" s="487"/>
      <c r="E6" s="487"/>
      <c r="F6" s="487"/>
      <c r="G6" s="487"/>
      <c r="H6" s="487"/>
      <c r="I6" s="487"/>
      <c r="J6" s="487"/>
      <c r="K6" s="487"/>
      <c r="L6" s="227"/>
      <c r="M6" s="227"/>
      <c r="N6" s="227"/>
      <c r="O6" s="227"/>
      <c r="P6" s="227"/>
      <c r="Q6" s="227"/>
    </row>
    <row r="7" spans="1:17" ht="21" customHeight="1">
      <c r="A7" s="3" t="s">
        <v>47</v>
      </c>
      <c r="B7" s="5">
        <v>84803627.299999997</v>
      </c>
      <c r="C7" s="9">
        <v>88335585</v>
      </c>
      <c r="D7" s="5">
        <v>88637432.400000006</v>
      </c>
      <c r="E7" s="9">
        <v>77096295.799999997</v>
      </c>
      <c r="F7" s="145">
        <v>86619605.799999997</v>
      </c>
      <c r="G7" s="9">
        <v>59970224.299999997</v>
      </c>
      <c r="H7" s="5">
        <v>63951310</v>
      </c>
      <c r="I7" s="9">
        <v>63913479.200000003</v>
      </c>
      <c r="J7" s="5">
        <v>58417138</v>
      </c>
      <c r="K7" s="147">
        <v>66134607.100000001</v>
      </c>
      <c r="L7" s="78"/>
    </row>
    <row r="8" spans="1:17">
      <c r="A8" s="13" t="s">
        <v>24</v>
      </c>
      <c r="B8" s="352"/>
      <c r="C8" s="353"/>
      <c r="D8" s="352"/>
      <c r="E8" s="353"/>
      <c r="F8" s="5"/>
      <c r="G8" s="146"/>
      <c r="H8" s="228"/>
      <c r="I8" s="229"/>
      <c r="J8" s="228"/>
      <c r="K8" s="7"/>
      <c r="L8" s="78"/>
    </row>
    <row r="9" spans="1:17">
      <c r="A9" s="230" t="s">
        <v>54</v>
      </c>
      <c r="B9" s="26">
        <v>1507779.3</v>
      </c>
      <c r="C9" s="38">
        <v>1523805.8</v>
      </c>
      <c r="D9" s="26">
        <v>1527678.1</v>
      </c>
      <c r="E9" s="38">
        <v>1201007.3</v>
      </c>
      <c r="F9" s="131">
        <v>1503823.5</v>
      </c>
      <c r="G9" s="38">
        <v>953217</v>
      </c>
      <c r="H9" s="26">
        <v>901890.2</v>
      </c>
      <c r="I9" s="38">
        <v>861810.1</v>
      </c>
      <c r="J9" s="26">
        <v>807559.7</v>
      </c>
      <c r="K9" s="132">
        <v>848365.1</v>
      </c>
      <c r="L9" s="78"/>
    </row>
    <row r="10" spans="1:17">
      <c r="A10" s="20" t="s">
        <v>55</v>
      </c>
      <c r="B10" s="131"/>
      <c r="C10" s="130"/>
      <c r="D10" s="131"/>
      <c r="E10" s="130"/>
      <c r="F10" s="26"/>
      <c r="G10" s="150"/>
      <c r="H10" s="131"/>
      <c r="I10" s="150"/>
      <c r="J10" s="131"/>
      <c r="K10" s="28"/>
      <c r="L10" s="78"/>
    </row>
    <row r="11" spans="1:17">
      <c r="A11" s="231" t="s">
        <v>9</v>
      </c>
      <c r="B11" s="26">
        <v>83295848</v>
      </c>
      <c r="C11" s="38">
        <v>86811779.200000003</v>
      </c>
      <c r="D11" s="26">
        <v>87109754.299999997</v>
      </c>
      <c r="E11" s="38">
        <v>75895288.5</v>
      </c>
      <c r="F11" s="131">
        <v>85115782.299999997</v>
      </c>
      <c r="G11" s="38">
        <v>59017007.299999997</v>
      </c>
      <c r="H11" s="26">
        <v>63049419.799999997</v>
      </c>
      <c r="I11" s="38">
        <v>63051669.100000001</v>
      </c>
      <c r="J11" s="26">
        <v>57609578.299999997</v>
      </c>
      <c r="K11" s="132">
        <v>65286242</v>
      </c>
      <c r="L11" s="78"/>
    </row>
    <row r="12" spans="1:17">
      <c r="A12" s="20" t="s">
        <v>56</v>
      </c>
      <c r="B12" s="131"/>
      <c r="C12" s="150"/>
      <c r="D12" s="131"/>
      <c r="E12" s="150"/>
      <c r="F12" s="171"/>
      <c r="G12" s="130"/>
      <c r="H12" s="131"/>
      <c r="I12" s="130"/>
      <c r="J12" s="131"/>
      <c r="K12" s="188"/>
      <c r="L12" s="78"/>
    </row>
    <row r="13" spans="1:17">
      <c r="A13" s="13"/>
      <c r="B13" s="228"/>
      <c r="C13" s="229"/>
      <c r="D13" s="228"/>
      <c r="E13" s="229"/>
      <c r="F13" s="5"/>
      <c r="G13" s="146"/>
      <c r="H13" s="228"/>
      <c r="I13" s="229"/>
      <c r="J13" s="228"/>
      <c r="K13" s="7"/>
      <c r="L13" s="78"/>
    </row>
    <row r="14" spans="1:17" s="122" customFormat="1">
      <c r="A14" s="232" t="s">
        <v>174</v>
      </c>
      <c r="B14" s="5">
        <v>28385343</v>
      </c>
      <c r="C14" s="9">
        <v>28820189.300000001</v>
      </c>
      <c r="D14" s="5">
        <v>28474146.300000001</v>
      </c>
      <c r="E14" s="9">
        <v>24850837.199999999</v>
      </c>
      <c r="F14" s="145">
        <v>27060335.800000001</v>
      </c>
      <c r="G14" s="9">
        <v>21022091.5</v>
      </c>
      <c r="H14" s="5">
        <v>21520911.100000001</v>
      </c>
      <c r="I14" s="9">
        <v>21306114.800000001</v>
      </c>
      <c r="J14" s="5">
        <v>19898618.5</v>
      </c>
      <c r="K14" s="147">
        <v>21801773.300000001</v>
      </c>
      <c r="L14" s="123"/>
    </row>
    <row r="15" spans="1:17">
      <c r="A15" s="93" t="s">
        <v>25</v>
      </c>
      <c r="B15" s="131"/>
      <c r="C15" s="130"/>
      <c r="D15" s="156"/>
      <c r="E15" s="157"/>
      <c r="F15" s="171"/>
      <c r="G15" s="130"/>
      <c r="H15" s="131"/>
      <c r="I15" s="150"/>
      <c r="J15" s="131"/>
      <c r="K15" s="188"/>
      <c r="L15" s="78"/>
    </row>
    <row r="16" spans="1:17" ht="25.5">
      <c r="A16" s="233" t="s">
        <v>175</v>
      </c>
      <c r="B16" s="26">
        <v>2108943.7000000002</v>
      </c>
      <c r="C16" s="38">
        <v>3072852.8</v>
      </c>
      <c r="D16" s="26">
        <v>2824343.1</v>
      </c>
      <c r="E16" s="38">
        <v>2737203.9</v>
      </c>
      <c r="F16" s="131">
        <v>2862112.4</v>
      </c>
      <c r="G16" s="38">
        <v>1461313</v>
      </c>
      <c r="H16" s="26">
        <v>1577037.5</v>
      </c>
      <c r="I16" s="38">
        <v>2033283.1</v>
      </c>
      <c r="J16" s="26">
        <v>2146989.4</v>
      </c>
      <c r="K16" s="132">
        <v>2146421.2000000002</v>
      </c>
      <c r="L16" s="78"/>
    </row>
    <row r="17" spans="1:12">
      <c r="A17" s="234" t="s">
        <v>48</v>
      </c>
      <c r="B17" s="131"/>
      <c r="C17" s="130"/>
      <c r="D17" s="131"/>
      <c r="E17" s="130"/>
      <c r="F17" s="131"/>
      <c r="G17" s="130"/>
      <c r="H17" s="131"/>
      <c r="I17" s="130"/>
      <c r="J17" s="131"/>
      <c r="K17" s="132"/>
      <c r="L17" s="78"/>
    </row>
    <row r="18" spans="1:12" ht="25.5">
      <c r="A18" s="233" t="s">
        <v>176</v>
      </c>
      <c r="B18" s="26">
        <v>26276399.300000001</v>
      </c>
      <c r="C18" s="38">
        <v>25747336.5</v>
      </c>
      <c r="D18" s="26">
        <v>25649803.199999999</v>
      </c>
      <c r="E18" s="38">
        <v>22113633.300000001</v>
      </c>
      <c r="F18" s="131">
        <v>24198223.399999999</v>
      </c>
      <c r="G18" s="38">
        <v>19560778.5</v>
      </c>
      <c r="H18" s="26">
        <v>19943873.600000001</v>
      </c>
      <c r="I18" s="38">
        <v>19272831.699999999</v>
      </c>
      <c r="J18" s="26">
        <v>17751629.100000001</v>
      </c>
      <c r="K18" s="132">
        <v>19655352.100000001</v>
      </c>
      <c r="L18" s="78"/>
    </row>
    <row r="19" spans="1:12">
      <c r="A19" s="234" t="s">
        <v>188</v>
      </c>
      <c r="B19" s="156"/>
      <c r="C19" s="235"/>
      <c r="D19" s="236"/>
      <c r="E19" s="235"/>
      <c r="F19" s="173"/>
      <c r="G19" s="130"/>
      <c r="H19" s="131"/>
      <c r="I19" s="130"/>
      <c r="J19" s="131"/>
      <c r="K19" s="237"/>
      <c r="L19" s="78"/>
    </row>
    <row r="20" spans="1:12">
      <c r="A20" s="234"/>
      <c r="B20" s="156"/>
      <c r="C20" s="235"/>
      <c r="D20" s="236"/>
      <c r="E20" s="235"/>
      <c r="F20" s="173"/>
      <c r="G20" s="130"/>
      <c r="H20" s="131"/>
      <c r="I20" s="130"/>
      <c r="J20" s="131"/>
      <c r="K20" s="237"/>
      <c r="L20" s="78"/>
    </row>
    <row r="21" spans="1:12" s="122" customFormat="1">
      <c r="A21" s="232" t="s">
        <v>177</v>
      </c>
      <c r="B21" s="5">
        <v>33595267.200000003</v>
      </c>
      <c r="C21" s="9">
        <v>36253402.899999999</v>
      </c>
      <c r="D21" s="5">
        <v>35163420.899999999</v>
      </c>
      <c r="E21" s="9">
        <v>29045869.699999999</v>
      </c>
      <c r="F21" s="145">
        <v>34557070.600000001</v>
      </c>
      <c r="G21" s="9">
        <v>24594523.199999999</v>
      </c>
      <c r="H21" s="5">
        <v>26983979.5</v>
      </c>
      <c r="I21" s="9">
        <v>25460007.899999999</v>
      </c>
      <c r="J21" s="5">
        <v>21883716.100000001</v>
      </c>
      <c r="K21" s="147">
        <v>26216556.100000001</v>
      </c>
      <c r="L21" s="123"/>
    </row>
    <row r="22" spans="1:12" s="242" customFormat="1">
      <c r="A22" s="238" t="s">
        <v>26</v>
      </c>
      <c r="B22" s="156"/>
      <c r="C22" s="130"/>
      <c r="D22" s="156"/>
      <c r="E22" s="157"/>
      <c r="F22" s="239"/>
      <c r="G22" s="150"/>
      <c r="H22" s="131"/>
      <c r="I22" s="157"/>
      <c r="J22" s="354"/>
      <c r="K22" s="240"/>
      <c r="L22" s="241"/>
    </row>
    <row r="23" spans="1:12">
      <c r="A23" s="244" t="s">
        <v>178</v>
      </c>
      <c r="B23" s="26">
        <v>21446246.600000001</v>
      </c>
      <c r="C23" s="38">
        <v>23207299.100000001</v>
      </c>
      <c r="D23" s="26">
        <v>21425611.100000001</v>
      </c>
      <c r="E23" s="38">
        <v>18937464</v>
      </c>
      <c r="F23" s="131">
        <v>23574097.800000001</v>
      </c>
      <c r="G23" s="38">
        <v>15519817.6</v>
      </c>
      <c r="H23" s="26">
        <v>17073318.600000001</v>
      </c>
      <c r="I23" s="38">
        <v>15349231.4</v>
      </c>
      <c r="J23" s="26">
        <v>14178191.1</v>
      </c>
      <c r="K23" s="132">
        <v>18006651.600000001</v>
      </c>
      <c r="L23" s="78"/>
    </row>
    <row r="24" spans="1:12">
      <c r="A24" s="245" t="s">
        <v>49</v>
      </c>
      <c r="B24" s="228"/>
      <c r="C24" s="246"/>
      <c r="D24" s="247"/>
      <c r="E24" s="246"/>
      <c r="F24" s="26"/>
      <c r="G24" s="150"/>
      <c r="H24" s="247"/>
      <c r="I24" s="246"/>
      <c r="J24" s="228"/>
      <c r="K24" s="28"/>
      <c r="L24" s="78"/>
    </row>
    <row r="25" spans="1:12" ht="25.5">
      <c r="A25" s="248" t="s">
        <v>179</v>
      </c>
      <c r="B25" s="26">
        <v>7885552.0999999996</v>
      </c>
      <c r="C25" s="38">
        <v>8402168.5999999996</v>
      </c>
      <c r="D25" s="26">
        <v>9342291.0999999996</v>
      </c>
      <c r="E25" s="38">
        <v>7008910.5</v>
      </c>
      <c r="F25" s="131">
        <v>7555620</v>
      </c>
      <c r="G25" s="38">
        <v>5818442</v>
      </c>
      <c r="H25" s="26">
        <v>6110348.9000000004</v>
      </c>
      <c r="I25" s="38">
        <v>6855912.5999999996</v>
      </c>
      <c r="J25" s="26">
        <v>5438922.7999999998</v>
      </c>
      <c r="K25" s="132">
        <v>5728945.7000000002</v>
      </c>
      <c r="L25" s="78"/>
    </row>
    <row r="26" spans="1:12">
      <c r="A26" s="249" t="s">
        <v>50</v>
      </c>
      <c r="B26" s="156"/>
      <c r="C26" s="235"/>
      <c r="D26" s="236"/>
      <c r="E26" s="235"/>
      <c r="F26" s="26"/>
      <c r="G26" s="150"/>
      <c r="H26" s="236"/>
      <c r="I26" s="235"/>
      <c r="J26" s="156"/>
      <c r="K26" s="28"/>
      <c r="L26" s="78"/>
    </row>
    <row r="27" spans="1:12" ht="25.5">
      <c r="A27" s="248" t="s">
        <v>313</v>
      </c>
      <c r="B27" s="26">
        <v>4263468.5</v>
      </c>
      <c r="C27" s="38">
        <v>4643935.2</v>
      </c>
      <c r="D27" s="26">
        <v>4395518.7</v>
      </c>
      <c r="E27" s="38">
        <v>3099495.2</v>
      </c>
      <c r="F27" s="131">
        <v>3427352.8</v>
      </c>
      <c r="G27" s="38">
        <v>3256263.6</v>
      </c>
      <c r="H27" s="26">
        <v>3800312</v>
      </c>
      <c r="I27" s="38">
        <v>3254863.9</v>
      </c>
      <c r="J27" s="26">
        <v>2266602.2000000002</v>
      </c>
      <c r="K27" s="132">
        <v>2480958.7999999998</v>
      </c>
      <c r="L27" s="78"/>
    </row>
    <row r="28" spans="1:12">
      <c r="A28" s="249" t="s">
        <v>181</v>
      </c>
      <c r="B28" s="131"/>
      <c r="C28" s="130"/>
      <c r="D28" s="131"/>
      <c r="E28" s="130"/>
      <c r="F28" s="26"/>
      <c r="G28" s="150"/>
      <c r="H28" s="131"/>
      <c r="I28" s="150"/>
      <c r="J28" s="131"/>
      <c r="K28" s="28"/>
      <c r="L28" s="78"/>
    </row>
    <row r="29" spans="1:12">
      <c r="A29" s="249"/>
      <c r="B29" s="131"/>
      <c r="C29" s="130"/>
      <c r="D29" s="131"/>
      <c r="E29" s="130"/>
      <c r="F29" s="26"/>
      <c r="G29" s="150"/>
      <c r="H29" s="131"/>
      <c r="I29" s="150"/>
      <c r="J29" s="131"/>
      <c r="K29" s="28"/>
      <c r="L29" s="78"/>
    </row>
    <row r="30" spans="1:12" s="122" customFormat="1">
      <c r="A30" s="250" t="s">
        <v>7</v>
      </c>
      <c r="B30" s="5">
        <v>22823017.100000001</v>
      </c>
      <c r="C30" s="9">
        <v>23261992.800000001</v>
      </c>
      <c r="D30" s="5">
        <v>24999865.199999999</v>
      </c>
      <c r="E30" s="9">
        <v>23199588.899999999</v>
      </c>
      <c r="F30" s="145">
        <v>25002199.399999999</v>
      </c>
      <c r="G30" s="9">
        <v>14353609.6</v>
      </c>
      <c r="H30" s="5">
        <v>15446419.4</v>
      </c>
      <c r="I30" s="9">
        <v>17147356.5</v>
      </c>
      <c r="J30" s="5">
        <v>16634803.4</v>
      </c>
      <c r="K30" s="147">
        <v>18116277.699999999</v>
      </c>
      <c r="L30" s="123"/>
    </row>
    <row r="31" spans="1:12">
      <c r="A31" s="251" t="s">
        <v>51</v>
      </c>
      <c r="B31" s="131"/>
      <c r="C31" s="130"/>
      <c r="D31" s="131"/>
      <c r="E31" s="130"/>
      <c r="F31" s="26"/>
      <c r="G31" s="150"/>
      <c r="H31" s="131"/>
      <c r="I31" s="150"/>
      <c r="J31" s="131"/>
      <c r="K31" s="28"/>
      <c r="L31" s="78"/>
    </row>
    <row r="32" spans="1:12">
      <c r="A32" s="244" t="s">
        <v>182</v>
      </c>
      <c r="B32" s="26">
        <v>1678323.6</v>
      </c>
      <c r="C32" s="38">
        <v>1759429.8</v>
      </c>
      <c r="D32" s="26">
        <v>1855455.8</v>
      </c>
      <c r="E32" s="38">
        <v>1705404.9</v>
      </c>
      <c r="F32" s="131">
        <v>2039338.7</v>
      </c>
      <c r="G32" s="38">
        <v>950954.6</v>
      </c>
      <c r="H32" s="26">
        <v>1102620.8</v>
      </c>
      <c r="I32" s="38">
        <v>1186626.5</v>
      </c>
      <c r="J32" s="26">
        <v>1129095.1000000001</v>
      </c>
      <c r="K32" s="132">
        <v>1488117.7</v>
      </c>
      <c r="L32" s="78"/>
    </row>
    <row r="33" spans="1:12">
      <c r="A33" s="245" t="s">
        <v>52</v>
      </c>
      <c r="B33" s="131"/>
      <c r="C33" s="130"/>
      <c r="D33" s="131"/>
      <c r="E33" s="130"/>
      <c r="F33" s="26"/>
      <c r="G33" s="150"/>
      <c r="H33" s="131"/>
      <c r="I33" s="150"/>
      <c r="J33" s="131"/>
      <c r="K33" s="28"/>
      <c r="L33" s="78"/>
    </row>
    <row r="34" spans="1:12" ht="25.5">
      <c r="A34" s="248" t="s">
        <v>183</v>
      </c>
      <c r="B34" s="26">
        <v>12349403.1</v>
      </c>
      <c r="C34" s="38">
        <v>12478816.6</v>
      </c>
      <c r="D34" s="26">
        <v>14030206.4</v>
      </c>
      <c r="E34" s="38">
        <v>12805672.199999999</v>
      </c>
      <c r="F34" s="131">
        <v>13915159.9</v>
      </c>
      <c r="G34" s="38">
        <v>7958356.5</v>
      </c>
      <c r="H34" s="26">
        <v>8388524.0999999996</v>
      </c>
      <c r="I34" s="38">
        <v>9903707</v>
      </c>
      <c r="J34" s="26">
        <v>9182224.9000000004</v>
      </c>
      <c r="K34" s="132">
        <v>10091937.4</v>
      </c>
      <c r="L34" s="78"/>
    </row>
    <row r="35" spans="1:12">
      <c r="A35" s="249" t="s">
        <v>184</v>
      </c>
      <c r="B35" s="131"/>
      <c r="C35" s="130"/>
      <c r="D35" s="131"/>
      <c r="E35" s="130"/>
      <c r="F35" s="131"/>
      <c r="G35" s="150"/>
      <c r="H35" s="131"/>
      <c r="I35" s="150"/>
      <c r="J35" s="131"/>
      <c r="K35" s="132"/>
      <c r="L35" s="78"/>
    </row>
    <row r="36" spans="1:12">
      <c r="A36" s="244" t="s">
        <v>185</v>
      </c>
      <c r="B36" s="26">
        <v>2568792.7000000002</v>
      </c>
      <c r="C36" s="38">
        <v>2374175.6</v>
      </c>
      <c r="D36" s="26">
        <v>2554561</v>
      </c>
      <c r="E36" s="38">
        <v>2470175.1</v>
      </c>
      <c r="F36" s="131">
        <v>2518508.2000000002</v>
      </c>
      <c r="G36" s="38">
        <v>1305318.3</v>
      </c>
      <c r="H36" s="26">
        <v>1276017.2</v>
      </c>
      <c r="I36" s="38">
        <v>1474112.5</v>
      </c>
      <c r="J36" s="26">
        <v>1496822.6</v>
      </c>
      <c r="K36" s="132">
        <v>1584117.8</v>
      </c>
      <c r="L36" s="78"/>
    </row>
    <row r="37" spans="1:12">
      <c r="A37" s="249" t="s">
        <v>53</v>
      </c>
      <c r="B37" s="131"/>
      <c r="C37" s="130"/>
      <c r="D37" s="131"/>
      <c r="E37" s="130"/>
      <c r="F37" s="26"/>
      <c r="G37" s="150"/>
      <c r="H37" s="131"/>
      <c r="I37" s="150"/>
      <c r="J37" s="131"/>
      <c r="K37" s="132"/>
      <c r="L37" s="78"/>
    </row>
    <row r="38" spans="1:12">
      <c r="A38" s="244" t="s">
        <v>186</v>
      </c>
      <c r="B38" s="26">
        <v>6226497.7000000002</v>
      </c>
      <c r="C38" s="38">
        <v>6649570.7999999998</v>
      </c>
      <c r="D38" s="26">
        <v>6559642</v>
      </c>
      <c r="E38" s="38">
        <v>6218336.7000000002</v>
      </c>
      <c r="F38" s="131">
        <v>6529192.5999999996</v>
      </c>
      <c r="G38" s="38">
        <v>4138980.2</v>
      </c>
      <c r="H38" s="26">
        <v>4679257.3</v>
      </c>
      <c r="I38" s="38">
        <v>4582910.5</v>
      </c>
      <c r="J38" s="26">
        <v>4826660.8</v>
      </c>
      <c r="K38" s="132">
        <v>4952104.8</v>
      </c>
      <c r="L38" s="78"/>
    </row>
    <row r="39" spans="1:12">
      <c r="A39" s="249" t="s">
        <v>187</v>
      </c>
      <c r="B39" s="131"/>
      <c r="C39" s="130"/>
      <c r="D39" s="131"/>
      <c r="E39" s="130"/>
      <c r="F39" s="26"/>
      <c r="G39" s="150"/>
      <c r="H39" s="131"/>
      <c r="I39" s="150"/>
      <c r="J39" s="131"/>
      <c r="K39" s="28"/>
      <c r="L39" s="78"/>
    </row>
    <row r="40" spans="1:12">
      <c r="A40" s="249"/>
      <c r="B40" s="171"/>
      <c r="C40" s="46"/>
      <c r="D40" s="171"/>
      <c r="E40" s="46"/>
      <c r="F40" s="26"/>
      <c r="G40" s="130"/>
      <c r="H40" s="131"/>
      <c r="I40" s="130"/>
      <c r="J40" s="131"/>
      <c r="K40" s="28"/>
      <c r="L40" s="78"/>
    </row>
  </sheetData>
  <mergeCells count="6">
    <mergeCell ref="A2:K2"/>
    <mergeCell ref="A4:A6"/>
    <mergeCell ref="B4:F4"/>
    <mergeCell ref="G4:K4"/>
    <mergeCell ref="B6:K6"/>
    <mergeCell ref="A3:K3"/>
  </mergeCells>
  <pageMargins left="0.70866141732283472" right="0.70866141732283472" top="0.74803149606299213" bottom="0.74803149606299213"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9</vt:i4>
      </vt:variant>
    </vt:vector>
  </HeadingPairs>
  <TitlesOfParts>
    <vt:vector size="22" baseType="lpstr">
      <vt:lpstr>spis treści</vt:lpstr>
      <vt:lpstr>1</vt:lpstr>
      <vt:lpstr>2</vt:lpstr>
      <vt:lpstr>3</vt:lpstr>
      <vt:lpstr>4</vt:lpstr>
      <vt:lpstr>5</vt:lpstr>
      <vt:lpstr>6</vt:lpstr>
      <vt:lpstr>7</vt:lpstr>
      <vt:lpstr>8 </vt:lpstr>
      <vt:lpstr>9</vt:lpstr>
      <vt:lpstr>10</vt:lpstr>
      <vt:lpstr>11</vt:lpstr>
      <vt:lpstr>12</vt:lpstr>
      <vt:lpstr>'1'!Tytuły_wydruku</vt:lpstr>
      <vt:lpstr>'12'!Tytuły_wydruku</vt:lpstr>
      <vt:lpstr>'3'!Tytuły_wydruku</vt:lpstr>
      <vt:lpstr>'4'!Tytuły_wydruku</vt:lpstr>
      <vt:lpstr>'5'!Tytuły_wydruku</vt:lpstr>
      <vt:lpstr>'6'!Tytuły_wydruku</vt:lpstr>
      <vt:lpstr>'7'!Tytuły_wydruku</vt:lpstr>
      <vt:lpstr>'8 '!Tytuły_wydruku</vt:lpstr>
      <vt:lpstr>'9'!Tytuły_wydruku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Kuniewicz Ewa</dc:creator>
  <cp:lastModifiedBy>Plewik Jarosław</cp:lastModifiedBy>
  <cp:lastPrinted>2018-10-11T10:08:11Z</cp:lastPrinted>
  <dcterms:created xsi:type="dcterms:W3CDTF">2018-08-03T11:41:31Z</dcterms:created>
  <dcterms:modified xsi:type="dcterms:W3CDTF">2018-10-11T12:31:12Z</dcterms:modified>
</cp:coreProperties>
</file>