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VMFRZE01\US Rzeszow\OST\DBS\Publikacje\2025\Wysłane na stronę\"/>
    </mc:Choice>
  </mc:AlternateContent>
  <xr:revisionPtr revIDLastSave="0" documentId="13_ncr:1_{3850C9CD-58B5-4281-B892-52120EC08F8E}" xr6:coauthVersionLast="36" xr6:coauthVersionMax="36" xr10:uidLastSave="{00000000-0000-0000-0000-000000000000}"/>
  <bookViews>
    <workbookView xWindow="0" yWindow="0" windowWidth="19200" windowHeight="6530" tabRatio="860" xr2:uid="{00000000-000D-0000-FFFF-FFFF00000000}"/>
  </bookViews>
  <sheets>
    <sheet name="Spis tablic  List of tables" sheetId="1" r:id="rId1"/>
    <sheet name="Symbole Symbols" sheetId="67" r:id="rId2"/>
    <sheet name="TABL.1" sheetId="2" r:id="rId3"/>
    <sheet name="TABL.2" sheetId="3" r:id="rId4"/>
    <sheet name="TABL.3" sheetId="4" r:id="rId5"/>
    <sheet name="TABL.4" sheetId="5" r:id="rId6"/>
    <sheet name="TABL.5" sheetId="6" r:id="rId7"/>
    <sheet name="TABL.6" sheetId="7" r:id="rId8"/>
    <sheet name="TABL.7" sheetId="8" r:id="rId9"/>
    <sheet name="TABL.8" sheetId="9" r:id="rId10"/>
    <sheet name="TABL.9" sheetId="12" r:id="rId11"/>
    <sheet name="TABL.10" sheetId="13" r:id="rId12"/>
    <sheet name="TABL.11" sheetId="14" r:id="rId13"/>
    <sheet name="TABL.12" sheetId="15" r:id="rId14"/>
    <sheet name="TABL.13" sheetId="16" r:id="rId15"/>
    <sheet name="TABL.14" sheetId="17" r:id="rId16"/>
    <sheet name="TABL.15" sheetId="18" r:id="rId17"/>
    <sheet name="TABL.16" sheetId="20" r:id="rId18"/>
    <sheet name="TABL.17" sheetId="21" r:id="rId19"/>
    <sheet name="TABL.18" sheetId="22" r:id="rId20"/>
    <sheet name="TABL.19" sheetId="24" r:id="rId21"/>
    <sheet name="TABL.20" sheetId="48" r:id="rId22"/>
    <sheet name="TABL.21" sheetId="26" r:id="rId23"/>
    <sheet name="TABL.22" sheetId="27" r:id="rId24"/>
    <sheet name="TABL.23" sheetId="28" r:id="rId25"/>
    <sheet name="TABL.24" sheetId="29" r:id="rId26"/>
    <sheet name="TABL.25" sheetId="30" r:id="rId27"/>
    <sheet name="TABL.26" sheetId="31" r:id="rId28"/>
    <sheet name="TABL.27" sheetId="32" r:id="rId29"/>
    <sheet name="TABL.28" sheetId="68" r:id="rId30"/>
    <sheet name="TABL.29" sheetId="45" r:id="rId31"/>
    <sheet name="TABL.30" sheetId="46" r:id="rId32"/>
    <sheet name="TABL.31" sheetId="34" r:id="rId33"/>
    <sheet name="TABL.32" sheetId="35" r:id="rId34"/>
    <sheet name="TABL.33" sheetId="36" r:id="rId35"/>
    <sheet name="TABL.34" sheetId="65" r:id="rId36"/>
    <sheet name="TABL.35" sheetId="66" r:id="rId37"/>
    <sheet name="TABL.36" sheetId="43" r:id="rId38"/>
    <sheet name="TABL.37" sheetId="37" r:id="rId39"/>
    <sheet name="TABL.38" sheetId="38" r:id="rId40"/>
    <sheet name="TABL.39" sheetId="39" r:id="rId41"/>
    <sheet name="TABL.40" sheetId="40" r:id="rId42"/>
  </sheets>
  <definedNames>
    <definedName name="_xlnm._FilterDatabase" localSheetId="14" hidden="1">TABL.13!$A$1:$F$24</definedName>
    <definedName name="_xlnm._FilterDatabase" localSheetId="20" hidden="1">TABL.19!$A$6:$G$224</definedName>
    <definedName name="_xlnm._FilterDatabase" localSheetId="21" hidden="1">TABL.20!$A$8:$K$495</definedName>
    <definedName name="_xlnm._FilterDatabase" localSheetId="22" hidden="1">TABL.21!$A$6:$M$145</definedName>
    <definedName name="_xlnm._FilterDatabase" localSheetId="24" hidden="1">TABL.23!$A$42:$J$75</definedName>
    <definedName name="_xlnm._FilterDatabase" localSheetId="25" hidden="1">TABL.24!$A$7:$J$301</definedName>
    <definedName name="_xlnm._FilterDatabase" localSheetId="28" hidden="1">TABL.27!$A$6:$I$151</definedName>
    <definedName name="_xlnm._FilterDatabase" localSheetId="31" hidden="1">TABL.30!$A$72:$O$86</definedName>
    <definedName name="_xlnm._FilterDatabase" localSheetId="35" hidden="1">TABL.34!$B$7:$E$110</definedName>
    <definedName name="_xlnm._FilterDatabase" localSheetId="38" hidden="1">TABL.37!$A$7:$K$40</definedName>
    <definedName name="_xlnm._FilterDatabase" localSheetId="39" hidden="1">TABL.38!$A$43:$K$68</definedName>
    <definedName name="_xlnm._FilterDatabase" localSheetId="40" hidden="1">TABL.39!$A$7:$K$38</definedName>
    <definedName name="_xlnm._FilterDatabase" localSheetId="41" hidden="1">TABL.40!$A$7:$Q$34</definedName>
    <definedName name="_Toc267050813" localSheetId="0">'Spis tablic  List of tables'!$B$103</definedName>
    <definedName name="_Toc267050816" localSheetId="0">'Spis tablic  List of tables'!$B$107</definedName>
    <definedName name="_Toc267050819" localSheetId="0">'Spis tablic  List of tables'!$B$111</definedName>
    <definedName name="_Toc267050823" localSheetId="0">'Spis tablic  List of tables'!$B$113</definedName>
    <definedName name="_Toc267050829" localSheetId="0">'Spis tablic  List of tables'!$B$121</definedName>
    <definedName name="_xlnm.Print_Area" localSheetId="16">TABL.15!$A$1:$L$21</definedName>
    <definedName name="_xlnm.Print_Area" localSheetId="29">TABL.28!$A$1:$M$43</definedName>
    <definedName name="_xlnm.Print_Area" localSheetId="31">TABL.30!$A$1:$G$88</definedName>
    <definedName name="SEKCJE__CZŁONKOWIE_I_ĆWICZĄCY_W_KLUBACH_SPORTOWYCH_WEDŁUG_MAKROREGIONÓW_W_2020_R." localSheetId="1">#REF!</definedName>
    <definedName name="SEKCJE__CZŁONKOWIE_I_ĆWICZĄCY_W_KLUBACH_SPORTOWYCH_WEDŁUG_MAKROREGIONÓW_W_2020_R.">'Spis tablic  List of tables'!$B$9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32" l="1"/>
  <c r="E75" i="32"/>
  <c r="F74" i="32"/>
  <c r="E74" i="32"/>
  <c r="D75" i="32"/>
  <c r="C75" i="32"/>
  <c r="D74" i="32"/>
  <c r="C74" i="32"/>
  <c r="F150" i="32"/>
  <c r="F148" i="32"/>
  <c r="F146" i="32"/>
  <c r="F144" i="32"/>
  <c r="F142" i="32"/>
  <c r="F138" i="32"/>
  <c r="F136" i="32"/>
  <c r="F134" i="32"/>
  <c r="F132" i="32"/>
  <c r="F130" i="32"/>
  <c r="F128" i="32"/>
  <c r="F126" i="32"/>
  <c r="F122" i="32"/>
  <c r="F120" i="32"/>
  <c r="F118" i="32"/>
  <c r="F114" i="32"/>
  <c r="D108" i="32"/>
  <c r="E109" i="32"/>
  <c r="F108" i="32"/>
  <c r="E108" i="32"/>
  <c r="F102" i="32"/>
  <c r="F100" i="32"/>
  <c r="F98" i="32"/>
  <c r="F94" i="32"/>
  <c r="F90" i="32"/>
  <c r="F88" i="32"/>
  <c r="F86" i="32"/>
  <c r="F84" i="32"/>
  <c r="F76" i="32"/>
  <c r="F72" i="32"/>
  <c r="F68" i="32"/>
  <c r="F62" i="32"/>
  <c r="F58" i="32"/>
  <c r="F56" i="32"/>
  <c r="F54" i="32"/>
  <c r="F50" i="32"/>
  <c r="F44" i="32"/>
  <c r="F42" i="32"/>
  <c r="F40" i="32"/>
  <c r="F38" i="32"/>
  <c r="F36" i="32"/>
  <c r="F34" i="32"/>
  <c r="F32" i="32"/>
  <c r="F30" i="32"/>
  <c r="F26" i="32"/>
  <c r="F24" i="32"/>
  <c r="F18" i="32"/>
  <c r="E16" i="32"/>
  <c r="F14" i="32"/>
  <c r="F10" i="32"/>
  <c r="F8" i="32"/>
  <c r="F6" i="32"/>
  <c r="D150" i="32"/>
  <c r="D148" i="32"/>
  <c r="D146" i="32"/>
  <c r="D144" i="32"/>
  <c r="D142" i="32"/>
  <c r="D138" i="32"/>
  <c r="D136" i="32"/>
  <c r="D134" i="32"/>
  <c r="D132" i="32"/>
  <c r="D128" i="32"/>
  <c r="D126" i="32"/>
  <c r="D122" i="32"/>
  <c r="D120" i="32"/>
  <c r="D114" i="32"/>
  <c r="C109" i="32"/>
  <c r="C108" i="32"/>
  <c r="D102" i="32"/>
  <c r="D100" i="32"/>
  <c r="D98" i="32"/>
  <c r="D94" i="32"/>
  <c r="D90" i="32"/>
  <c r="D88" i="32"/>
  <c r="D86" i="32"/>
  <c r="D84" i="32"/>
  <c r="D76" i="32"/>
  <c r="D72" i="32"/>
  <c r="D68" i="32"/>
  <c r="D62" i="32"/>
  <c r="D58" i="32"/>
  <c r="D56" i="32"/>
  <c r="D54" i="32"/>
  <c r="D50" i="32"/>
  <c r="D48" i="32"/>
  <c r="C46" i="32"/>
  <c r="D44" i="32"/>
  <c r="D42" i="32"/>
  <c r="D40" i="32"/>
  <c r="D38" i="32"/>
  <c r="D36" i="32"/>
  <c r="D34" i="32"/>
  <c r="D32" i="32"/>
  <c r="D30" i="32"/>
  <c r="D26" i="32"/>
  <c r="C26" i="32"/>
  <c r="D24" i="32"/>
  <c r="D18" i="32"/>
  <c r="C16" i="32"/>
  <c r="D14" i="32"/>
  <c r="D10" i="32"/>
  <c r="D8" i="32"/>
  <c r="D6" i="32"/>
  <c r="H20" i="27"/>
  <c r="G20" i="27"/>
  <c r="F20" i="27"/>
  <c r="E20" i="27"/>
  <c r="D20" i="27"/>
  <c r="C20" i="27"/>
  <c r="H19" i="27"/>
  <c r="G19" i="27"/>
  <c r="F19" i="27"/>
  <c r="E19" i="27"/>
  <c r="D19" i="27"/>
  <c r="C19" i="27"/>
  <c r="H18" i="27"/>
  <c r="G18" i="27"/>
  <c r="F18" i="27"/>
  <c r="E18" i="27"/>
  <c r="D18" i="27"/>
  <c r="C18" i="27"/>
  <c r="H17" i="27"/>
  <c r="G17" i="27"/>
  <c r="F17" i="27"/>
  <c r="E17" i="27"/>
  <c r="D17" i="27"/>
  <c r="C17" i="27"/>
  <c r="H16" i="27"/>
  <c r="G16" i="27"/>
  <c r="F16" i="27"/>
  <c r="E16" i="27"/>
  <c r="D16" i="27"/>
  <c r="C16" i="27"/>
  <c r="H15" i="27"/>
  <c r="G15" i="27"/>
  <c r="F15" i="27"/>
  <c r="E15" i="27"/>
  <c r="D15" i="27"/>
  <c r="C15" i="27"/>
  <c r="H14" i="27" l="1"/>
  <c r="G14" i="27"/>
  <c r="F14" i="27"/>
  <c r="E14" i="27"/>
  <c r="D14" i="27"/>
  <c r="C14" i="27"/>
  <c r="H13" i="27"/>
  <c r="G13" i="27"/>
  <c r="F13" i="27"/>
  <c r="E13" i="27"/>
  <c r="D13" i="27"/>
  <c r="C13" i="27"/>
  <c r="H12" i="27"/>
  <c r="G12" i="27"/>
  <c r="F12" i="27"/>
  <c r="E12" i="27"/>
  <c r="D12" i="27"/>
  <c r="C12" i="27"/>
  <c r="H11" i="27"/>
  <c r="G11" i="27"/>
  <c r="F11" i="27"/>
  <c r="E11" i="27"/>
  <c r="D11" i="27"/>
  <c r="C11" i="27"/>
  <c r="H10" i="27"/>
  <c r="G10" i="27"/>
  <c r="F10" i="27"/>
  <c r="E10" i="27"/>
  <c r="D10" i="27"/>
  <c r="C10" i="27"/>
  <c r="H9" i="27"/>
  <c r="G9" i="27"/>
  <c r="F9" i="27"/>
  <c r="E9" i="27"/>
  <c r="D9" i="27"/>
  <c r="C9" i="27"/>
  <c r="F20" i="30"/>
  <c r="D20" i="30"/>
  <c r="F19" i="30"/>
  <c r="E19" i="30"/>
  <c r="D19" i="30"/>
  <c r="C19" i="30"/>
  <c r="F18" i="30"/>
  <c r="E18" i="30"/>
  <c r="D18" i="30"/>
  <c r="C18" i="30"/>
  <c r="F17" i="30"/>
  <c r="E17" i="30"/>
  <c r="D17" i="30"/>
  <c r="C17" i="30"/>
  <c r="F16" i="30"/>
  <c r="E16" i="30"/>
  <c r="D16" i="30"/>
  <c r="C16" i="30"/>
  <c r="F15" i="30"/>
  <c r="E15" i="30"/>
  <c r="D15" i="30"/>
  <c r="C15" i="30"/>
  <c r="F14" i="30"/>
  <c r="E14" i="30"/>
  <c r="D14" i="30"/>
  <c r="C14" i="30"/>
  <c r="F13" i="30"/>
  <c r="E13" i="30"/>
  <c r="D13" i="30"/>
  <c r="C13" i="30"/>
  <c r="F12" i="30"/>
  <c r="E12" i="30"/>
  <c r="D12" i="30"/>
  <c r="C12" i="30"/>
  <c r="F11" i="30"/>
  <c r="E11" i="30"/>
  <c r="F10" i="30"/>
  <c r="E10" i="30"/>
  <c r="D11" i="30"/>
  <c r="C11" i="30"/>
  <c r="D10" i="30"/>
  <c r="C10" i="30"/>
  <c r="F9" i="30"/>
  <c r="E9" i="30"/>
  <c r="D9" i="30"/>
  <c r="C9" i="30"/>
  <c r="F8" i="30"/>
  <c r="E8" i="30"/>
  <c r="D8" i="30"/>
  <c r="C8" i="30"/>
  <c r="F6" i="30"/>
  <c r="D6" i="30"/>
  <c r="F38" i="31"/>
  <c r="D38" i="31"/>
  <c r="F36" i="31"/>
  <c r="D36" i="31"/>
  <c r="F34" i="31"/>
  <c r="D34" i="31"/>
  <c r="F32" i="31"/>
  <c r="D32" i="31"/>
  <c r="F30" i="31"/>
  <c r="D30" i="31"/>
  <c r="F28" i="31"/>
  <c r="D28" i="31"/>
  <c r="F26" i="31"/>
  <c r="D26" i="31"/>
  <c r="F24" i="31"/>
  <c r="D24" i="31"/>
  <c r="F22" i="31"/>
  <c r="D22" i="31"/>
  <c r="F20" i="31"/>
  <c r="D20" i="31"/>
  <c r="F18" i="31"/>
  <c r="D18" i="31"/>
  <c r="F16" i="31"/>
  <c r="D16" i="31"/>
  <c r="F14" i="31"/>
  <c r="D14" i="31"/>
  <c r="F12" i="31"/>
  <c r="D12" i="31"/>
  <c r="F10" i="31"/>
  <c r="D10" i="31"/>
  <c r="F8" i="31"/>
  <c r="D8" i="31"/>
  <c r="F6" i="31"/>
  <c r="D6" i="31"/>
  <c r="J10" i="2" l="1"/>
  <c r="J9" i="2" l="1"/>
  <c r="J7" i="2"/>
  <c r="J8" i="2"/>
</calcChain>
</file>

<file path=xl/sharedStrings.xml><?xml version="1.0" encoding="utf-8"?>
<sst xmlns="http://schemas.openxmlformats.org/spreadsheetml/2006/main" count="5839" uniqueCount="1428">
  <si>
    <t xml:space="preserve">TABL. 1. </t>
  </si>
  <si>
    <t>PODSTAWOWE INFORMACJE DOTYCZĄCE KULTURY FIZYCZNEJ</t>
  </si>
  <si>
    <t>BASIC INFORMATION ON PHYSICAL EDUCATION</t>
  </si>
  <si>
    <t>Spis tablic</t>
  </si>
  <si>
    <t>List of tables</t>
  </si>
  <si>
    <t>Powrót do spisu tablic
Return to list of tables</t>
  </si>
  <si>
    <r>
      <t xml:space="preserve">WYSZCZEGÓLNIENIE
</t>
    </r>
    <r>
      <rPr>
        <sz val="8"/>
        <color rgb="FF595959"/>
        <rFont val="Arial"/>
        <family val="2"/>
        <charset val="238"/>
      </rPr>
      <t>SPECIFICATION</t>
    </r>
  </si>
  <si>
    <r>
      <t xml:space="preserve">KLUBY SPORTOWE   
</t>
    </r>
    <r>
      <rPr>
        <sz val="8"/>
        <color theme="1" tint="0.34998626667073579"/>
        <rFont val="Arial"/>
        <family val="2"/>
        <charset val="238"/>
      </rPr>
      <t>SPORTS CLUBS</t>
    </r>
  </si>
  <si>
    <r>
      <t xml:space="preserve">Kluby 
</t>
    </r>
    <r>
      <rPr>
        <sz val="8"/>
        <color theme="1" tint="0.34998626667073579"/>
        <rFont val="Arial"/>
        <family val="2"/>
        <charset val="238"/>
      </rPr>
      <t>Clubs</t>
    </r>
  </si>
  <si>
    <r>
      <t xml:space="preserve">Członkowie (w tys.)
</t>
    </r>
    <r>
      <rPr>
        <sz val="8"/>
        <color theme="1" tint="0.34998626667073579"/>
        <rFont val="Arial"/>
        <family val="2"/>
        <charset val="238"/>
      </rPr>
      <t>Members (in thous.)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</si>
  <si>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of which
    </t>
    </r>
    <r>
      <rPr>
        <sz val="8"/>
        <color theme="1"/>
        <rFont val="Arial"/>
        <family val="2"/>
        <charset val="238"/>
      </rPr>
      <t xml:space="preserve">kobiety   </t>
    </r>
    <r>
      <rPr>
        <sz val="8"/>
        <color theme="1" tint="0.34998626667073579"/>
        <rFont val="Arial"/>
        <family val="2"/>
        <charset val="238"/>
      </rPr>
      <t>females</t>
    </r>
  </si>
  <si>
    <r>
      <t xml:space="preserve">    do 18 lat
    </t>
    </r>
    <r>
      <rPr>
        <sz val="8"/>
        <color theme="1" tint="0.34998626667073579"/>
        <rFont val="Arial"/>
        <family val="2"/>
        <charset val="238"/>
      </rPr>
      <t>up to age of 18</t>
    </r>
  </si>
  <si>
    <r>
      <t xml:space="preserve">Trenerzy
</t>
    </r>
    <r>
      <rPr>
        <sz val="8"/>
        <color theme="1" tint="0.34998626667073579"/>
        <rFont val="Arial"/>
        <family val="2"/>
        <charset val="238"/>
      </rPr>
      <t>Coaches</t>
    </r>
  </si>
  <si>
    <r>
      <t xml:space="preserve">Instruktorzy
</t>
    </r>
    <r>
      <rPr>
        <sz val="8"/>
        <color theme="1" tint="0.34998626667073579"/>
        <rFont val="Arial"/>
        <family val="2"/>
        <charset val="238"/>
      </rPr>
      <t>Instructors</t>
    </r>
  </si>
  <si>
    <r>
      <t xml:space="preserve">Inne osoby prowadzące zajęcia sportowe 
</t>
    </r>
    <r>
      <rPr>
        <sz val="8"/>
        <color theme="1" tint="0.34998626667073579"/>
        <rFont val="Arial"/>
        <family val="2"/>
        <charset val="238"/>
      </rPr>
      <t>Other persons run-ning sports classes</t>
    </r>
  </si>
  <si>
    <r>
      <t>ĆWICZĄCY</t>
    </r>
    <r>
      <rPr>
        <b/>
        <vertAlign val="superscript"/>
        <sz val="8"/>
        <color rgb="FF000000"/>
        <rFont val="Arial"/>
        <family val="2"/>
        <charset val="238"/>
      </rPr>
      <t>a</t>
    </r>
    <r>
      <rPr>
        <b/>
        <sz val="8"/>
        <color rgb="FF000000"/>
        <rFont val="Arial"/>
        <family val="2"/>
        <charset val="238"/>
      </rPr>
      <t xml:space="preserve"> W WYBRANYCH RODZAJACH SPORTÓW   
</t>
    </r>
    <r>
      <rPr>
        <sz val="8"/>
        <color theme="1" tint="0.34998626667073579"/>
        <rFont val="Arial"/>
        <family val="2"/>
        <charset val="238"/>
      </rPr>
      <t>PERSONS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PRACTISING SPORTSa IN SELECTED KINDS OF SPORTS</t>
    </r>
  </si>
  <si>
    <r>
      <t xml:space="preserve">Judo
</t>
    </r>
    <r>
      <rPr>
        <sz val="8"/>
        <color theme="1" tint="0.34998626667073579"/>
        <rFont val="Arial"/>
        <family val="2"/>
        <charset val="238"/>
      </rPr>
      <t>Judo</t>
    </r>
  </si>
  <si>
    <r>
      <t>Karate</t>
    </r>
    <r>
      <rPr>
        <vertAlign val="superscript"/>
        <sz val="8"/>
        <color rgb="FF000000"/>
        <rFont val="Arial"/>
        <family val="2"/>
        <charset val="238"/>
      </rPr>
      <t xml:space="preserve">b
</t>
    </r>
    <r>
      <rPr>
        <sz val="8"/>
        <color theme="1" tint="0.34998626667073579"/>
        <rFont val="Arial"/>
        <family val="2"/>
        <charset val="238"/>
      </rPr>
      <t>Karate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</si>
  <si>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Koszykówka
</t>
    </r>
    <r>
      <rPr>
        <sz val="8"/>
        <color theme="1" tint="0.34998626667073579"/>
        <rFont val="Arial"/>
        <family val="2"/>
        <charset val="238"/>
      </rPr>
      <t>Basketball</t>
    </r>
  </si>
  <si>
    <r>
      <t xml:space="preserve">Lekkoatletyka
</t>
    </r>
    <r>
      <rPr>
        <sz val="8"/>
        <color theme="1" tint="0.34998626667073579"/>
        <rFont val="Arial"/>
        <family val="2"/>
        <charset val="238"/>
      </rPr>
      <t>Athletics</t>
    </r>
  </si>
  <si>
    <r>
      <t>Piłka nożna</t>
    </r>
    <r>
      <rPr>
        <vertAlign val="superscript"/>
        <sz val="8"/>
        <color rgb="FF000000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Football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</si>
  <si>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Piłka ręczna
</t>
    </r>
    <r>
      <rPr>
        <sz val="8"/>
        <color theme="1" tint="0.34998626667073579"/>
        <rFont val="Arial"/>
        <family val="2"/>
        <charset val="238"/>
      </rPr>
      <t>Handball</t>
    </r>
  </si>
  <si>
    <r>
      <t>Piłka siatkowa</t>
    </r>
    <r>
      <rPr>
        <vertAlign val="superscript"/>
        <sz val="8"/>
        <color rgb="FF000000"/>
        <rFont val="Arial"/>
        <family val="2"/>
        <charset val="238"/>
      </rPr>
      <t xml:space="preserve">d
</t>
    </r>
    <r>
      <rPr>
        <sz val="8"/>
        <color theme="1" tint="0.34998626667073579"/>
        <rFont val="Arial"/>
        <family val="2"/>
        <charset val="238"/>
      </rPr>
      <t>Basketball</t>
    </r>
    <r>
      <rPr>
        <vertAlign val="superscript"/>
        <sz val="8"/>
        <color theme="1" tint="0.34998626667073579"/>
        <rFont val="Arial"/>
        <family val="2"/>
        <charset val="238"/>
      </rPr>
      <t>d</t>
    </r>
  </si>
  <si>
    <r>
      <t xml:space="preserve">Pływanie
</t>
    </r>
    <r>
      <rPr>
        <sz val="8"/>
        <color theme="1" tint="0.34998626667073579"/>
        <rFont val="Arial"/>
        <family val="2"/>
        <charset val="238"/>
      </rPr>
      <t>Swimming</t>
    </r>
  </si>
  <si>
    <r>
      <t xml:space="preserve">Strzelectwo sportowe
</t>
    </r>
    <r>
      <rPr>
        <sz val="8"/>
        <color theme="1" tint="0.34998626667073579"/>
        <rFont val="Arial"/>
        <family val="2"/>
        <charset val="238"/>
      </rPr>
      <t>Sport shooting</t>
    </r>
  </si>
  <si>
    <r>
      <t xml:space="preserve">Tenis stołowy
</t>
    </r>
    <r>
      <rPr>
        <sz val="8"/>
        <color theme="1" tint="0.34998626667073579"/>
        <rFont val="Arial"/>
        <family val="2"/>
        <charset val="238"/>
      </rPr>
      <t>Table tennis</t>
    </r>
  </si>
  <si>
    <r>
      <t xml:space="preserve">POLSKIE ZWIĄZKI SPORTOWE
</t>
    </r>
    <r>
      <rPr>
        <sz val="8"/>
        <color theme="1" tint="0.34998626667073579"/>
        <rFont val="Arial"/>
        <family val="2"/>
        <charset val="238"/>
      </rPr>
      <t>POLISH SPORTS ASSOCIATIONS</t>
    </r>
  </si>
  <si>
    <r>
      <t xml:space="preserve">Członkowie kadry narodowej
</t>
    </r>
    <r>
      <rPr>
        <sz val="8"/>
        <color theme="1" tint="0.34998626667073579"/>
        <rFont val="Arial"/>
        <family val="2"/>
        <charset val="238"/>
      </rPr>
      <t>Members of the national team</t>
    </r>
  </si>
  <si>
    <r>
      <t>Sędziowie sportowi</t>
    </r>
    <r>
      <rPr>
        <vertAlign val="superscript"/>
        <sz val="8"/>
        <color rgb="FF000000"/>
        <rFont val="Arial"/>
        <family val="2"/>
        <charset val="238"/>
      </rPr>
      <t>e</t>
    </r>
    <r>
      <rPr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Sports judges</t>
    </r>
  </si>
  <si>
    <r>
      <t xml:space="preserve">ORGANIZACJE KULTURY FIZYCZNEJ (JEDNOSTKI)
</t>
    </r>
    <r>
      <rPr>
        <sz val="8"/>
        <color theme="1" tint="0.34998626667073579"/>
        <rFont val="Arial"/>
        <family val="2"/>
        <charset val="238"/>
      </rPr>
      <t>PHYSICAL EDUCATION ORGANIZATIONS (ENTITIES)</t>
    </r>
  </si>
  <si>
    <r>
      <t xml:space="preserve">Akademicki Związek Sportowy
</t>
    </r>
    <r>
      <rPr>
        <sz val="8"/>
        <color theme="1" tint="0.34998626667073579"/>
        <rFont val="Arial"/>
        <family val="2"/>
        <charset val="238"/>
      </rPr>
      <t>University Sports Association</t>
    </r>
  </si>
  <si>
    <r>
      <t xml:space="preserve">Polski Związek Sportu Niepełnosprawnych "START"
</t>
    </r>
    <r>
      <rPr>
        <sz val="8"/>
        <color theme="1" tint="0.34998626667073579"/>
        <rFont val="Arial"/>
        <family val="2"/>
        <charset val="238"/>
      </rPr>
      <t>Polish Sports Association for the Disabled ’’START’’</t>
    </r>
  </si>
  <si>
    <r>
      <t xml:space="preserve">Towarzystwo Krzewienia Kultury Fizycznej
</t>
    </r>
    <r>
      <rPr>
        <sz val="8"/>
        <color theme="1" tint="0.34998626667073579"/>
        <rFont val="Arial"/>
        <family val="2"/>
        <charset val="238"/>
      </rPr>
      <t>Society for Promotion of Physical Education</t>
    </r>
  </si>
  <si>
    <r>
      <t>a A person practising sport is indicated as many times as the number of sports she/he practices. b Including traditional karate. c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Including indoor football and beach football. d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Including beach volleyball. e Judges can be shown several times if they are licensed in several sports supervised by one sports association.</t>
    </r>
  </si>
  <si>
    <r>
      <t xml:space="preserve">Kluby
</t>
    </r>
    <r>
      <rPr>
        <sz val="8"/>
        <color theme="1" tint="0.34998626667073579"/>
        <rFont val="Arial"/>
        <family val="2"/>
        <charset val="238"/>
      </rPr>
      <t>Clubs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</si>
  <si>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</si>
  <si>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Ćwiczący
</t>
    </r>
    <r>
      <rPr>
        <sz val="8"/>
        <color theme="1" tint="0.34998626667073579"/>
        <rFont val="Arial"/>
        <family val="2"/>
        <charset val="238"/>
      </rPr>
      <t>Persons practising sports</t>
    </r>
  </si>
  <si>
    <r>
      <t xml:space="preserve">w tym kobiety 
</t>
    </r>
    <r>
      <rPr>
        <sz val="8"/>
        <color theme="1" tint="0.34998626667073579"/>
        <rFont val="Arial"/>
        <family val="2"/>
        <charset val="238"/>
      </rPr>
      <t>of which females</t>
    </r>
  </si>
  <si>
    <r>
      <t xml:space="preserve">z liczby ogółem w wieku do 18 lat 
</t>
    </r>
    <r>
      <rPr>
        <sz val="8"/>
        <color theme="1" tint="0.34998626667073579"/>
        <rFont val="Arial"/>
        <family val="2"/>
        <charset val="238"/>
      </rPr>
      <t>of total number up to age of 18</t>
    </r>
  </si>
  <si>
    <r>
      <t xml:space="preserve">razem 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</si>
  <si>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dziewczęta
</t>
    </r>
    <r>
      <rPr>
        <sz val="8"/>
        <color theme="1" tint="0.34998626667073579"/>
        <rFont val="Arial"/>
        <family val="2"/>
        <charset val="238"/>
      </rPr>
      <t>of which girls</t>
    </r>
  </si>
  <si>
    <r>
      <t xml:space="preserve">Centralny
</t>
    </r>
    <r>
      <rPr>
        <sz val="8"/>
        <color theme="1" tint="0.34998626667073579"/>
        <rFont val="Arial"/>
        <family val="2"/>
        <charset val="238"/>
      </rPr>
      <t>Central</t>
    </r>
  </si>
  <si>
    <r>
      <t xml:space="preserve">Województwo mazowieckie
</t>
    </r>
    <r>
      <rPr>
        <sz val="8"/>
        <color theme="1" tint="0.34998626667073579"/>
        <rFont val="Arial"/>
        <family val="2"/>
        <charset val="238"/>
      </rPr>
      <t>Mazowieckie Voivodship</t>
    </r>
  </si>
  <si>
    <r>
      <t xml:space="preserve">Południowy
</t>
    </r>
    <r>
      <rPr>
        <sz val="8"/>
        <color theme="1" tint="0.34998626667073579"/>
        <rFont val="Arial"/>
        <family val="2"/>
        <charset val="238"/>
      </rPr>
      <t>Southern</t>
    </r>
  </si>
  <si>
    <r>
      <t xml:space="preserve">Wschodni
</t>
    </r>
    <r>
      <rPr>
        <sz val="8"/>
        <color theme="1" tint="0.34998626667073579"/>
        <rFont val="Arial"/>
        <family val="2"/>
        <charset val="238"/>
      </rPr>
      <t>Eastern</t>
    </r>
  </si>
  <si>
    <r>
      <t xml:space="preserve">Pólnocno-zachodni
</t>
    </r>
    <r>
      <rPr>
        <sz val="8"/>
        <color theme="1" tint="0.34998626667073579"/>
        <rFont val="Arial"/>
        <family val="2"/>
        <charset val="238"/>
      </rPr>
      <t>North-western</t>
    </r>
  </si>
  <si>
    <r>
      <t xml:space="preserve">Południowo-zachodni
</t>
    </r>
    <r>
      <rPr>
        <sz val="8"/>
        <color theme="1" tint="0.34998626667073579"/>
        <rFont val="Arial"/>
        <family val="2"/>
        <charset val="238"/>
      </rPr>
      <t>South-western</t>
    </r>
  </si>
  <si>
    <r>
      <t xml:space="preserve">Północny
</t>
    </r>
    <r>
      <rPr>
        <sz val="8"/>
        <color theme="1" tint="0.34998626667073579"/>
        <rFont val="Arial"/>
        <family val="2"/>
        <charset val="238"/>
      </rPr>
      <t>Northern</t>
    </r>
  </si>
  <si>
    <r>
      <t xml:space="preserve">Ogółem   
</t>
    </r>
    <r>
      <rPr>
        <sz val="8"/>
        <color theme="1" tint="0.34998626667073579"/>
        <rFont val="Arial"/>
        <family val="2"/>
        <charset val="238"/>
      </rPr>
      <t>Total</t>
    </r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</si>
  <si>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</si>
  <si>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</si>
  <si>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</si>
  <si>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</si>
  <si>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</si>
  <si>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</si>
  <si>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</si>
  <si>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</si>
  <si>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</si>
  <si>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</si>
  <si>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</si>
  <si>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</si>
  <si>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</si>
  <si>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</si>
  <si>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</si>
  <si>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</si>
  <si>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t xml:space="preserve">Kluby biorące udział we współzawodnictwie sportowym na poziomie ogólnopolskim   
</t>
    </r>
    <r>
      <rPr>
        <sz val="8"/>
        <color theme="1" tint="0.34998626667073579"/>
        <rFont val="Arial"/>
        <family val="2"/>
        <charset val="238"/>
      </rPr>
      <t>Clubs participating in sports competition at the national level</t>
    </r>
  </si>
  <si>
    <r>
      <rPr>
        <b/>
        <sz val="8"/>
        <color theme="1"/>
        <rFont val="Arial"/>
        <family val="2"/>
        <charset val="238"/>
      </rPr>
      <t xml:space="preserve">Kluby biorące udział we współzawodnictwie sportowym na poziomie ogólnopolskim   </t>
    </r>
    <r>
      <rPr>
        <b/>
        <sz val="8"/>
        <color rgb="FFFF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Clubs participating in sports competition at the national level</t>
    </r>
  </si>
  <si>
    <r>
      <rPr>
        <b/>
        <sz val="8"/>
        <color theme="1"/>
        <rFont val="Arial"/>
        <family val="2"/>
        <charset val="238"/>
      </rPr>
      <t xml:space="preserve">Kluby biorące udział we współzawodnictwie sportowym na poziomie ogólnopolskim  </t>
    </r>
    <r>
      <rPr>
        <b/>
        <sz val="8"/>
        <color rgb="FFFF0000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Clubs participating in sports competition at the national level</t>
    </r>
  </si>
  <si>
    <r>
      <t xml:space="preserve">ogółem    </t>
    </r>
    <r>
      <rPr>
        <sz val="8"/>
        <color theme="1" tint="0.34998626667073579"/>
        <rFont val="Arial"/>
        <family val="2"/>
        <charset val="238"/>
      </rPr>
      <t xml:space="preserve"> 
total</t>
    </r>
  </si>
  <si>
    <r>
      <t>Ćwiczący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Persons practising sports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</si>
  <si>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</si>
  <si>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</si>
  <si>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juniorki
</t>
    </r>
    <r>
      <rPr>
        <sz val="8"/>
        <color theme="1" tint="0.34998626667073579"/>
        <rFont val="Arial"/>
        <family val="2"/>
        <charset val="238"/>
      </rPr>
      <t>of which female juniors</t>
    </r>
  </si>
  <si>
    <t xml:space="preserve">TABL. 2. </t>
  </si>
  <si>
    <t>TABL. 3.</t>
  </si>
  <si>
    <t>TABL. 4.</t>
  </si>
  <si>
    <t>TABL. 5.</t>
  </si>
  <si>
    <t xml:space="preserve">TABL. 6. </t>
  </si>
  <si>
    <t>TABL. 7.</t>
  </si>
  <si>
    <t>TABL. 8.</t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</si>
  <si>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</si>
  <si>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liczby ogółem - juniorzy i juniorki
</t>
    </r>
    <r>
      <rPr>
        <sz val="8"/>
        <color theme="1" tint="0.34998626667073579"/>
        <rFont val="Arial"/>
        <family val="2"/>
        <charset val="238"/>
      </rPr>
      <t>of total number -</t>
    </r>
    <r>
      <rPr>
        <sz val="8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juniors</t>
    </r>
  </si>
  <si>
    <r>
      <t xml:space="preserve">Akrobatyka
</t>
    </r>
    <r>
      <rPr>
        <sz val="8"/>
        <color theme="1" tint="0.34998626667073579"/>
        <rFont val="Arial"/>
        <family val="2"/>
        <charset val="238"/>
      </rPr>
      <t>Acrobatics</t>
    </r>
  </si>
  <si>
    <r>
      <t xml:space="preserve">Alpinizm
</t>
    </r>
    <r>
      <rPr>
        <sz val="8"/>
        <color theme="1" tint="0.34998626667073579"/>
        <rFont val="Arial"/>
        <family val="2"/>
        <charset val="238"/>
      </rPr>
      <t>Mountaineering</t>
    </r>
  </si>
  <si>
    <r>
      <t xml:space="preserve">Badminton
</t>
    </r>
    <r>
      <rPr>
        <sz val="8"/>
        <color theme="1" tint="0.34998626667073579"/>
        <rFont val="Arial"/>
        <family val="2"/>
        <charset val="238"/>
      </rPr>
      <t>Badminton</t>
    </r>
  </si>
  <si>
    <r>
      <t xml:space="preserve">Baseball
</t>
    </r>
    <r>
      <rPr>
        <sz val="8"/>
        <color theme="1" tint="0.34998626667073579"/>
        <rFont val="Arial"/>
        <family val="2"/>
        <charset val="238"/>
      </rPr>
      <t>Baseball</t>
    </r>
  </si>
  <si>
    <r>
      <t xml:space="preserve">baseball
</t>
    </r>
    <r>
      <rPr>
        <sz val="8"/>
        <color theme="1" tint="0.34998626667073579"/>
        <rFont val="Arial"/>
        <family val="2"/>
        <charset val="238"/>
      </rPr>
      <t>baseball</t>
    </r>
  </si>
  <si>
    <r>
      <t xml:space="preserve">softball
</t>
    </r>
    <r>
      <rPr>
        <sz val="8"/>
        <color theme="1" tint="0.34998626667073579"/>
        <rFont val="Arial"/>
        <family val="2"/>
        <charset val="238"/>
      </rPr>
      <t>softball</t>
    </r>
  </si>
  <si>
    <r>
      <t xml:space="preserve">Biathlon
</t>
    </r>
    <r>
      <rPr>
        <sz val="8"/>
        <color theme="1" tint="0.34998626667073579"/>
        <rFont val="Arial"/>
        <family val="2"/>
        <charset val="238"/>
      </rPr>
      <t>Biathlon</t>
    </r>
  </si>
  <si>
    <r>
      <t xml:space="preserve">Bilard
</t>
    </r>
    <r>
      <rPr>
        <sz val="8"/>
        <color theme="1" tint="0.34998626667073579"/>
        <rFont val="Arial"/>
        <family val="2"/>
        <charset val="238"/>
      </rPr>
      <t>Billiards</t>
    </r>
  </si>
  <si>
    <r>
      <t xml:space="preserve">pool bilard
</t>
    </r>
    <r>
      <rPr>
        <sz val="8"/>
        <color theme="1" tint="0.34998626667073579"/>
        <rFont val="Arial"/>
        <family val="2"/>
        <charset val="238"/>
      </rPr>
      <t>pool bilard</t>
    </r>
  </si>
  <si>
    <r>
      <t xml:space="preserve">bilard angielski
</t>
    </r>
    <r>
      <rPr>
        <sz val="8"/>
        <color theme="1" tint="0.34998626667073579"/>
        <rFont val="Arial"/>
        <family val="2"/>
        <charset val="238"/>
      </rPr>
      <t>English billiards</t>
    </r>
  </si>
  <si>
    <r>
      <t xml:space="preserve">snooker
</t>
    </r>
    <r>
      <rPr>
        <sz val="8"/>
        <color theme="1" tint="0.34998626667073579"/>
        <rFont val="Arial"/>
        <family val="2"/>
        <charset val="238"/>
      </rPr>
      <t>snooker</t>
    </r>
  </si>
  <si>
    <r>
      <t xml:space="preserve">Boks
</t>
    </r>
    <r>
      <rPr>
        <sz val="8"/>
        <color theme="1" tint="0.34998626667073579"/>
        <rFont val="Arial"/>
        <family val="2"/>
        <charset val="238"/>
      </rPr>
      <t>Boxing</t>
    </r>
  </si>
  <si>
    <r>
      <t xml:space="preserve">Brydż sportowy
</t>
    </r>
    <r>
      <rPr>
        <sz val="8"/>
        <color theme="1" tint="0.34998626667073579"/>
        <rFont val="Arial"/>
        <family val="2"/>
        <charset val="238"/>
      </rPr>
      <t>Bridge</t>
    </r>
  </si>
  <si>
    <r>
      <t xml:space="preserve">Cheerleading
</t>
    </r>
    <r>
      <rPr>
        <sz val="8"/>
        <color theme="1" tint="0.34998626667073579"/>
        <rFont val="Arial"/>
        <family val="2"/>
        <charset val="238"/>
      </rPr>
      <t>Cheerleading</t>
    </r>
  </si>
  <si>
    <r>
      <t xml:space="preserve">Curling
</t>
    </r>
    <r>
      <rPr>
        <sz val="8"/>
        <color theme="1" tint="0.34998626667073579"/>
        <rFont val="Arial"/>
        <family val="2"/>
        <charset val="238"/>
      </rPr>
      <t>Curling</t>
    </r>
  </si>
  <si>
    <r>
      <t xml:space="preserve">Football amerykański
</t>
    </r>
    <r>
      <rPr>
        <sz val="8"/>
        <color theme="1" tint="0.34998626667073579"/>
        <rFont val="Arial"/>
        <family val="2"/>
        <charset val="238"/>
      </rPr>
      <t>American football</t>
    </r>
  </si>
  <si>
    <r>
      <t xml:space="preserve">Gimnastyka
</t>
    </r>
    <r>
      <rPr>
        <sz val="8"/>
        <color theme="1" tint="0.34998626667073579"/>
        <rFont val="Arial"/>
        <family val="2"/>
        <charset val="238"/>
      </rPr>
      <t>Gymnastic</t>
    </r>
  </si>
  <si>
    <r>
      <t xml:space="preserve">Golf
</t>
    </r>
    <r>
      <rPr>
        <sz val="8"/>
        <color theme="1" tint="0.34998626667073579"/>
        <rFont val="Arial"/>
        <family val="2"/>
        <charset val="238"/>
      </rPr>
      <t>Golf</t>
    </r>
  </si>
  <si>
    <r>
      <t xml:space="preserve">Hokej
</t>
    </r>
    <r>
      <rPr>
        <sz val="8"/>
        <color theme="1" tint="0.34998626667073579"/>
        <rFont val="Arial"/>
        <family val="2"/>
        <charset val="238"/>
      </rPr>
      <t>Hockey</t>
    </r>
  </si>
  <si>
    <r>
      <t>hokej na lodzie</t>
    </r>
    <r>
      <rPr>
        <vertAlign val="superscript"/>
        <sz val="8"/>
        <rFont val="Arial"/>
        <family val="2"/>
        <charset val="238"/>
      </rPr>
      <t xml:space="preserve">b
</t>
    </r>
    <r>
      <rPr>
        <sz val="8"/>
        <color theme="1" tint="0.34998626667073579"/>
        <rFont val="Arial"/>
        <family val="2"/>
        <charset val="238"/>
      </rPr>
      <t>ice hockey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</si>
  <si>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hokej na trawie
</t>
    </r>
    <r>
      <rPr>
        <sz val="8"/>
        <color theme="1" tint="0.34998626667073579"/>
        <rFont val="Arial"/>
        <family val="2"/>
        <charset val="238"/>
      </rPr>
      <t>hockey</t>
    </r>
  </si>
  <si>
    <r>
      <t xml:space="preserve">unihokej
</t>
    </r>
    <r>
      <rPr>
        <sz val="8"/>
        <color theme="1" tint="0.34998626667073579"/>
        <rFont val="Arial"/>
        <family val="2"/>
        <charset val="238"/>
      </rPr>
      <t>floorball</t>
    </r>
  </si>
  <si>
    <r>
      <t xml:space="preserve">Jeździectwo
</t>
    </r>
    <r>
      <rPr>
        <sz val="8"/>
        <color theme="1" tint="0.34998626667073579"/>
        <rFont val="Arial"/>
        <family val="2"/>
        <charset val="238"/>
      </rPr>
      <t>Equestrian</t>
    </r>
  </si>
  <si>
    <r>
      <t xml:space="preserve">Ju-jitsu
</t>
    </r>
    <r>
      <rPr>
        <sz val="8"/>
        <color theme="1" tint="0.34998626667073579"/>
        <rFont val="Arial"/>
        <family val="2"/>
        <charset val="238"/>
      </rPr>
      <t>Ju-jitsu</t>
    </r>
  </si>
  <si>
    <r>
      <t xml:space="preserve">Kajakarstwo
</t>
    </r>
    <r>
      <rPr>
        <sz val="8"/>
        <color theme="1" tint="0.34998626667073579"/>
        <rFont val="Arial"/>
        <family val="2"/>
        <charset val="238"/>
      </rPr>
      <t>Canoeing</t>
    </r>
  </si>
  <si>
    <r>
      <t xml:space="preserve">kajak polo
</t>
    </r>
    <r>
      <rPr>
        <sz val="8"/>
        <color theme="1" tint="0.34998626667073579"/>
        <rFont val="Arial"/>
        <family val="2"/>
        <charset val="238"/>
      </rPr>
      <t>canoe polo</t>
    </r>
  </si>
  <si>
    <r>
      <t>Karate</t>
    </r>
    <r>
      <rPr>
        <vertAlign val="superscript"/>
        <sz val="8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Karate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</si>
  <si>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Kendo
</t>
    </r>
    <r>
      <rPr>
        <sz val="8"/>
        <color theme="1" tint="0.34998626667073579"/>
        <rFont val="Arial"/>
        <family val="2"/>
        <charset val="238"/>
      </rPr>
      <t>Kendo</t>
    </r>
  </si>
  <si>
    <r>
      <t xml:space="preserve">Kick-boxing
</t>
    </r>
    <r>
      <rPr>
        <sz val="8"/>
        <color theme="1" tint="0.34998626667073579"/>
        <rFont val="Arial"/>
        <family val="2"/>
        <charset val="238"/>
      </rPr>
      <t>Kick-boxing</t>
    </r>
  </si>
  <si>
    <r>
      <t xml:space="preserve">Kolarstwo
</t>
    </r>
    <r>
      <rPr>
        <sz val="8"/>
        <color theme="1" tint="0.34998626667073579"/>
        <rFont val="Arial"/>
        <family val="2"/>
        <charset val="238"/>
      </rPr>
      <t>Cycling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</si>
  <si>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    kolarstwo górskie
    </t>
    </r>
    <r>
      <rPr>
        <sz val="8"/>
        <color theme="1" tint="0.34998626667073579"/>
        <rFont val="Arial"/>
        <family val="2"/>
        <charset val="238"/>
      </rPr>
      <t>mountain biking</t>
    </r>
  </si>
  <si>
    <r>
      <t xml:space="preserve">    kolarstwo przełajowe
   </t>
    </r>
    <r>
      <rPr>
        <sz val="8"/>
        <color theme="1" tint="0.34998626667073579"/>
        <rFont val="Arial"/>
        <family val="2"/>
        <charset val="238"/>
      </rPr>
      <t xml:space="preserve"> cyclo-cross</t>
    </r>
  </si>
  <si>
    <r>
      <t xml:space="preserve">    kolarstwo szosowe
  </t>
    </r>
    <r>
      <rPr>
        <sz val="8"/>
        <color theme="1" tint="0.34998626667073579"/>
        <rFont val="Arial"/>
        <family val="2"/>
        <charset val="238"/>
      </rPr>
      <t xml:space="preserve">  road cycling</t>
    </r>
  </si>
  <si>
    <r>
      <t xml:space="preserve">    kolarstwo torowe
   </t>
    </r>
    <r>
      <rPr>
        <sz val="8"/>
        <color theme="1" tint="0.34998626667073579"/>
        <rFont val="Arial"/>
        <family val="2"/>
        <charset val="238"/>
      </rPr>
      <t xml:space="preserve"> track cycling</t>
    </r>
  </si>
  <si>
    <r>
      <t xml:space="preserve">    trial rowerowy
    </t>
    </r>
    <r>
      <rPr>
        <sz val="8"/>
        <color theme="1" tint="0.34998626667073579"/>
        <rFont val="Arial"/>
        <family val="2"/>
        <charset val="238"/>
      </rPr>
      <t>mountain bike trials</t>
    </r>
  </si>
  <si>
    <r>
      <t xml:space="preserve">Korfball
</t>
    </r>
    <r>
      <rPr>
        <sz val="8"/>
        <color theme="1" tint="0.34998626667073579"/>
        <rFont val="Arial"/>
        <family val="2"/>
        <charset val="238"/>
      </rPr>
      <t>Korfball</t>
    </r>
  </si>
  <si>
    <r>
      <rPr>
        <sz val="8"/>
        <rFont val="Arial"/>
        <family val="2"/>
        <charset val="238"/>
      </rPr>
      <t>Lacrosse</t>
    </r>
    <r>
      <rPr>
        <sz val="8"/>
        <color theme="1" tint="0.34998626667073579"/>
        <rFont val="Arial"/>
        <family val="2"/>
        <charset val="238"/>
      </rPr>
      <t xml:space="preserve">
Lacrosse</t>
    </r>
  </si>
  <si>
    <r>
      <t xml:space="preserve">Łucznictwo
</t>
    </r>
    <r>
      <rPr>
        <sz val="8"/>
        <color theme="1" tint="0.34998626667073579"/>
        <rFont val="Arial"/>
        <family val="2"/>
        <charset val="238"/>
      </rPr>
      <t>Archery</t>
    </r>
  </si>
  <si>
    <r>
      <t xml:space="preserve">Łyżwiarstwo figurowe
</t>
    </r>
    <r>
      <rPr>
        <sz val="8"/>
        <color theme="1" tint="0.34998626667073579"/>
        <rFont val="Arial"/>
        <family val="2"/>
        <charset val="238"/>
      </rPr>
      <t>Figure skating</t>
    </r>
  </si>
  <si>
    <r>
      <t>Łyżwiarstwo szybkie</t>
    </r>
    <r>
      <rPr>
        <vertAlign val="superscript"/>
        <sz val="8"/>
        <rFont val="Arial"/>
        <family val="2"/>
        <charset val="238"/>
      </rPr>
      <t xml:space="preserve">d
</t>
    </r>
    <r>
      <rPr>
        <sz val="8"/>
        <color theme="1" tint="0.34998626667073579"/>
        <rFont val="Arial"/>
        <family val="2"/>
        <charset val="238"/>
      </rPr>
      <t>Speed skating</t>
    </r>
    <r>
      <rPr>
        <vertAlign val="superscript"/>
        <sz val="8"/>
        <color theme="1" tint="0.34998626667073579"/>
        <rFont val="Arial"/>
        <family val="2"/>
        <charset val="238"/>
      </rPr>
      <t>d</t>
    </r>
  </si>
  <si>
    <r>
      <t xml:space="preserve">Modelarstwo sportowe
</t>
    </r>
    <r>
      <rPr>
        <sz val="8"/>
        <color theme="1" tint="0.34998626667073579"/>
        <rFont val="Arial"/>
        <family val="2"/>
        <charset val="238"/>
      </rPr>
      <t>Sport model building</t>
    </r>
  </si>
  <si>
    <r>
      <t xml:space="preserve">Muaythai
</t>
    </r>
    <r>
      <rPr>
        <sz val="8"/>
        <color theme="1" tint="0.34998626667073579"/>
        <rFont val="Arial"/>
        <family val="2"/>
        <charset val="238"/>
      </rPr>
      <t>Muaythai</t>
    </r>
  </si>
  <si>
    <r>
      <t xml:space="preserve">Narciarstwo
</t>
    </r>
    <r>
      <rPr>
        <sz val="8"/>
        <color theme="1" tint="0.34998626667073579"/>
        <rFont val="Arial"/>
        <family val="2"/>
        <charset val="238"/>
      </rPr>
      <t>Skiing</t>
    </r>
  </si>
  <si>
    <r>
      <t xml:space="preserve">narciarstwo alpejskie
</t>
    </r>
    <r>
      <rPr>
        <sz val="8"/>
        <color theme="1" tint="0.34998626667073579"/>
        <rFont val="Arial"/>
        <family val="2"/>
        <charset val="238"/>
      </rPr>
      <t>alpine skiing</t>
    </r>
  </si>
  <si>
    <r>
      <t xml:space="preserve">narciarstwo klasyczne
</t>
    </r>
    <r>
      <rPr>
        <sz val="8"/>
        <color theme="1" tint="0.34998626667073579"/>
        <rFont val="Arial"/>
        <family val="2"/>
        <charset val="238"/>
      </rPr>
      <t>nordic skiing</t>
    </r>
  </si>
  <si>
    <r>
      <t xml:space="preserve">narciarstwo dowolne
</t>
    </r>
    <r>
      <rPr>
        <sz val="8"/>
        <color theme="1" tint="0.34998626667073579"/>
        <rFont val="Arial"/>
        <family val="2"/>
        <charset val="238"/>
      </rPr>
      <t>freestyle skiing</t>
    </r>
  </si>
  <si>
    <r>
      <t xml:space="preserve">Orientacja sportowa
</t>
    </r>
    <r>
      <rPr>
        <sz val="8"/>
        <color theme="1" tint="0.34998626667073579"/>
        <rFont val="Arial"/>
        <family val="2"/>
        <charset val="238"/>
      </rPr>
      <t>Orienteering</t>
    </r>
  </si>
  <si>
    <r>
      <rPr>
        <sz val="8"/>
        <rFont val="Arial"/>
        <family val="2"/>
        <charset val="238"/>
      </rPr>
      <t>Petanque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Petanque</t>
    </r>
  </si>
  <si>
    <r>
      <t xml:space="preserve">Pięciobój nowoczesny
</t>
    </r>
    <r>
      <rPr>
        <sz val="8"/>
        <color theme="1" tint="0.34998626667073579"/>
        <rFont val="Arial"/>
        <family val="2"/>
        <charset val="238"/>
      </rPr>
      <t>Modern pentathlon</t>
    </r>
  </si>
  <si>
    <r>
      <rPr>
        <sz val="8"/>
        <color theme="1"/>
        <rFont val="Arial"/>
        <family val="2"/>
        <charset val="238"/>
      </rPr>
      <t>Piłka nożna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Football</t>
    </r>
  </si>
  <si>
    <r>
      <t xml:space="preserve">piłka nożna
</t>
    </r>
    <r>
      <rPr>
        <sz val="8"/>
        <color theme="1" tint="0.34998626667073579"/>
        <rFont val="Arial"/>
        <family val="2"/>
        <charset val="238"/>
      </rPr>
      <t>football</t>
    </r>
  </si>
  <si>
    <r>
      <t xml:space="preserve">piłka nożna halowa (futsal)
</t>
    </r>
    <r>
      <rPr>
        <sz val="8"/>
        <color theme="1" tint="0.34998626667073579"/>
        <rFont val="Arial"/>
        <family val="2"/>
        <charset val="238"/>
      </rPr>
      <t>indoor football</t>
    </r>
  </si>
  <si>
    <r>
      <t xml:space="preserve">piłka nożna plażowa
</t>
    </r>
    <r>
      <rPr>
        <sz val="8"/>
        <color theme="1" tint="0.34998626667073579"/>
        <rFont val="Arial"/>
        <family val="2"/>
        <charset val="238"/>
      </rPr>
      <t>beach football</t>
    </r>
  </si>
  <si>
    <r>
      <rPr>
        <sz val="8"/>
        <color theme="1"/>
        <rFont val="Arial"/>
        <family val="2"/>
        <charset val="238"/>
      </rPr>
      <t>Piłka siatkowa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Volleyball</t>
    </r>
  </si>
  <si>
    <r>
      <t xml:space="preserve">piłka siatkowa
</t>
    </r>
    <r>
      <rPr>
        <sz val="8"/>
        <color theme="1" tint="0.34998626667073579"/>
        <rFont val="Arial"/>
        <family val="2"/>
        <charset val="238"/>
      </rPr>
      <t>volleyball</t>
    </r>
  </si>
  <si>
    <r>
      <t xml:space="preserve">piłka siatkowa plażowa
</t>
    </r>
    <r>
      <rPr>
        <sz val="8"/>
        <color theme="1" tint="0.34998626667073579"/>
        <rFont val="Arial"/>
        <family val="2"/>
        <charset val="238"/>
      </rPr>
      <t>beach volleyball</t>
    </r>
  </si>
  <si>
    <r>
      <t xml:space="preserve">Płetwonurkowanie sportowe
</t>
    </r>
    <r>
      <rPr>
        <sz val="8"/>
        <color theme="1" tint="0.34998626667073579"/>
        <rFont val="Arial"/>
        <family val="2"/>
        <charset val="238"/>
      </rPr>
      <t>Sport scuba diving</t>
    </r>
  </si>
  <si>
    <r>
      <t xml:space="preserve">Podnoszenie ciężarów
</t>
    </r>
    <r>
      <rPr>
        <sz val="8"/>
        <color theme="1" tint="0.34998626667073579"/>
        <rFont val="Arial"/>
        <family val="2"/>
        <charset val="238"/>
      </rPr>
      <t>Weight lifting</t>
    </r>
  </si>
  <si>
    <r>
      <rPr>
        <sz val="8"/>
        <rFont val="Arial"/>
        <family val="2"/>
        <charset val="238"/>
      </rPr>
      <t xml:space="preserve">Przeciąganie liny
</t>
    </r>
    <r>
      <rPr>
        <sz val="8"/>
        <color theme="1" tint="0.34998626667073579"/>
        <rFont val="Arial"/>
        <family val="2"/>
        <charset val="238"/>
      </rPr>
      <t>Tug of war</t>
    </r>
  </si>
  <si>
    <r>
      <t xml:space="preserve">Radioorientacja sportowa
</t>
    </r>
    <r>
      <rPr>
        <sz val="8"/>
        <color theme="1" tint="0.34998626667073579"/>
        <rFont val="Arial"/>
        <family val="2"/>
        <charset val="238"/>
      </rPr>
      <t>Sport radioorienteering</t>
    </r>
  </si>
  <si>
    <r>
      <t xml:space="preserve">Ringo
</t>
    </r>
    <r>
      <rPr>
        <sz val="8"/>
        <color theme="1" tint="0.34998626667073579"/>
        <rFont val="Arial"/>
        <family val="2"/>
        <charset val="238"/>
      </rPr>
      <t>Ringo</t>
    </r>
  </si>
  <si>
    <r>
      <t xml:space="preserve">Rugby
</t>
    </r>
    <r>
      <rPr>
        <sz val="8"/>
        <color theme="1" tint="0.34998626667073579"/>
        <rFont val="Arial"/>
        <family val="2"/>
        <charset val="238"/>
      </rPr>
      <t>Rugby</t>
    </r>
  </si>
  <si>
    <r>
      <t xml:space="preserve">Snowboard
</t>
    </r>
    <r>
      <rPr>
        <sz val="8"/>
        <color theme="1" tint="0.34998626667073579"/>
        <rFont val="Arial"/>
        <family val="2"/>
        <charset val="238"/>
      </rPr>
      <t>Snowboard</t>
    </r>
  </si>
  <si>
    <r>
      <t xml:space="preserve">Squash
</t>
    </r>
    <r>
      <rPr>
        <sz val="8"/>
        <color theme="1" tint="0.34998626667073579"/>
        <rFont val="Arial"/>
        <family val="2"/>
        <charset val="238"/>
      </rPr>
      <t>Squash</t>
    </r>
  </si>
  <si>
    <r>
      <t xml:space="preserve">Sport lotniczy
</t>
    </r>
    <r>
      <rPr>
        <sz val="8"/>
        <color theme="1" tint="0.34998626667073579"/>
        <rFont val="Arial"/>
        <family val="2"/>
        <charset val="238"/>
      </rPr>
      <t>Air sport</t>
    </r>
  </si>
  <si>
    <r>
      <t xml:space="preserve">Sport motorowodny i narciarstwo wodne
</t>
    </r>
    <r>
      <rPr>
        <sz val="8"/>
        <color theme="1" tint="0.34998626667073579"/>
        <rFont val="Arial"/>
        <family val="2"/>
        <charset val="238"/>
      </rPr>
      <t>Motorboating and water skiing</t>
    </r>
  </si>
  <si>
    <r>
      <t xml:space="preserve">sport motorowodny
</t>
    </r>
    <r>
      <rPr>
        <sz val="8"/>
        <color theme="1" tint="0.34998626667073579"/>
        <rFont val="Arial"/>
        <family val="2"/>
        <charset val="238"/>
      </rPr>
      <t>motorboating</t>
    </r>
  </si>
  <si>
    <r>
      <t xml:space="preserve">narciarstwo wodne
</t>
    </r>
    <r>
      <rPr>
        <sz val="8"/>
        <color theme="1" tint="0.34998626667073579"/>
        <rFont val="Arial"/>
        <family val="2"/>
        <charset val="238"/>
      </rPr>
      <t>water skiing</t>
    </r>
  </si>
  <si>
    <r>
      <t xml:space="preserve">wakeboad
</t>
    </r>
    <r>
      <rPr>
        <sz val="8"/>
        <color theme="1" tint="0.34998626667073579"/>
        <rFont val="Arial"/>
        <family val="2"/>
        <charset val="238"/>
      </rPr>
      <t>wakeboarding</t>
    </r>
  </si>
  <si>
    <r>
      <t xml:space="preserve">Sport motorowy
</t>
    </r>
    <r>
      <rPr>
        <sz val="8"/>
        <color theme="1" tint="0.34998626667073579"/>
        <rFont val="Arial"/>
        <family val="2"/>
        <charset val="238"/>
      </rPr>
      <t>Motorsport</t>
    </r>
  </si>
  <si>
    <r>
      <t xml:space="preserve">Sport pływacki
</t>
    </r>
    <r>
      <rPr>
        <sz val="8"/>
        <color theme="1" tint="0.34998626667073579"/>
        <rFont val="Arial"/>
        <family val="2"/>
        <charset val="238"/>
      </rPr>
      <t>Aquatics</t>
    </r>
  </si>
  <si>
    <r>
      <t xml:space="preserve">pływanie
</t>
    </r>
    <r>
      <rPr>
        <sz val="8"/>
        <color theme="1" tint="0.34998626667073579"/>
        <rFont val="Arial"/>
        <family val="2"/>
        <charset val="238"/>
      </rPr>
      <t>swimming</t>
    </r>
  </si>
  <si>
    <r>
      <t xml:space="preserve">piłka wodna
</t>
    </r>
    <r>
      <rPr>
        <sz val="8"/>
        <color theme="1" tint="0.34998626667073579"/>
        <rFont val="Arial"/>
        <family val="2"/>
        <charset val="238"/>
      </rPr>
      <t>water polo</t>
    </r>
  </si>
  <si>
    <r>
      <t xml:space="preserve">skoki do wody
</t>
    </r>
    <r>
      <rPr>
        <sz val="8"/>
        <color theme="1" tint="0.34998626667073579"/>
        <rFont val="Arial"/>
        <family val="2"/>
        <charset val="238"/>
      </rPr>
      <t>diving</t>
    </r>
  </si>
  <si>
    <r>
      <t xml:space="preserve">Sport psich zaprzęgów
</t>
    </r>
    <r>
      <rPr>
        <sz val="8"/>
        <color theme="1" tint="0.34998626667073579"/>
        <rFont val="Arial"/>
        <family val="2"/>
        <charset val="238"/>
      </rPr>
      <t>Dogsled sport</t>
    </r>
  </si>
  <si>
    <r>
      <t xml:space="preserve">Sport saneczkowy
</t>
    </r>
    <r>
      <rPr>
        <sz val="8"/>
        <color theme="1" tint="0.34998626667073579"/>
        <rFont val="Arial"/>
        <family val="2"/>
        <charset val="238"/>
      </rPr>
      <t>Luge sport</t>
    </r>
  </si>
  <si>
    <r>
      <rPr>
        <sz val="8"/>
        <color theme="1"/>
        <rFont val="Arial"/>
        <family val="2"/>
        <charset val="238"/>
      </rPr>
      <t>Sporty elektroniczne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Electonic sports</t>
    </r>
  </si>
  <si>
    <r>
      <t xml:space="preserve">Sporty kulowe
</t>
    </r>
    <r>
      <rPr>
        <sz val="8"/>
        <color theme="1" tint="0.34998626667073579"/>
        <rFont val="Arial"/>
        <family val="2"/>
        <charset val="238"/>
      </rPr>
      <t>Ball sports</t>
    </r>
  </si>
  <si>
    <r>
      <t xml:space="preserve">bocce
</t>
    </r>
    <r>
      <rPr>
        <sz val="8"/>
        <color theme="1" tint="0.34998626667073579"/>
        <rFont val="Arial"/>
        <family val="2"/>
        <charset val="238"/>
      </rPr>
      <t>bocce</t>
    </r>
  </si>
  <si>
    <r>
      <t xml:space="preserve">bowling
</t>
    </r>
    <r>
      <rPr>
        <sz val="8"/>
        <color theme="1" tint="0.34998626667073579"/>
        <rFont val="Arial"/>
        <family val="2"/>
        <charset val="238"/>
      </rPr>
      <t>tenpin bowling</t>
    </r>
  </si>
  <si>
    <r>
      <t xml:space="preserve">kręglarstwo
</t>
    </r>
    <r>
      <rPr>
        <sz val="8"/>
        <color theme="1" tint="0.34998626667073579"/>
        <rFont val="Arial"/>
        <family val="2"/>
        <charset val="238"/>
      </rPr>
      <t>bowling</t>
    </r>
  </si>
  <si>
    <r>
      <t xml:space="preserve">Sporty siłowe
</t>
    </r>
    <r>
      <rPr>
        <sz val="8"/>
        <color theme="1" tint="0.34998626667073579"/>
        <rFont val="Arial"/>
        <family val="2"/>
        <charset val="238"/>
      </rPr>
      <t>Strength sports</t>
    </r>
  </si>
  <si>
    <r>
      <t xml:space="preserve">fitness
</t>
    </r>
    <r>
      <rPr>
        <sz val="8"/>
        <color theme="1" tint="0.34998626667073579"/>
        <rFont val="Arial"/>
        <family val="2"/>
        <charset val="238"/>
      </rPr>
      <t>fitness</t>
    </r>
  </si>
  <si>
    <r>
      <t xml:space="preserve">kulturystyka
</t>
    </r>
    <r>
      <rPr>
        <sz val="8"/>
        <color theme="1" tint="0.34998626667073579"/>
        <rFont val="Arial"/>
        <family val="2"/>
        <charset val="238"/>
      </rPr>
      <t>body-building</t>
    </r>
  </si>
  <si>
    <r>
      <t xml:space="preserve">trójbój siłowy
</t>
    </r>
    <r>
      <rPr>
        <sz val="8"/>
        <color theme="1" tint="0.34998626667073579"/>
        <rFont val="Arial"/>
        <family val="2"/>
        <charset val="238"/>
      </rPr>
      <t>powerlifting</t>
    </r>
  </si>
  <si>
    <r>
      <t xml:space="preserve">Sporty taneczne
</t>
    </r>
    <r>
      <rPr>
        <sz val="8"/>
        <color theme="1" tint="0.34998626667073579"/>
        <rFont val="Arial"/>
        <family val="2"/>
        <charset val="238"/>
      </rPr>
      <t>Dancesport</t>
    </r>
  </si>
  <si>
    <r>
      <t xml:space="preserve">taniec sportowy
</t>
    </r>
    <r>
      <rPr>
        <sz val="8"/>
        <color theme="1" tint="0.34998626667073579"/>
        <rFont val="Arial"/>
        <family val="2"/>
        <charset val="238"/>
      </rPr>
      <t>sport dancing</t>
    </r>
  </si>
  <si>
    <r>
      <t xml:space="preserve">taniec towarzyski
</t>
    </r>
    <r>
      <rPr>
        <sz val="8"/>
        <color theme="1" tint="0.34998626667073579"/>
        <rFont val="Arial"/>
        <family val="2"/>
        <charset val="238"/>
      </rPr>
      <t>ballroom dancing</t>
    </r>
  </si>
  <si>
    <r>
      <t xml:space="preserve">Sumo
</t>
    </r>
    <r>
      <rPr>
        <sz val="8"/>
        <color theme="1" tint="0.34998626667073579"/>
        <rFont val="Arial"/>
        <family val="2"/>
        <charset val="238"/>
      </rPr>
      <t>Sumo</t>
    </r>
  </si>
  <si>
    <r>
      <t xml:space="preserve">Szachy
</t>
    </r>
    <r>
      <rPr>
        <sz val="8"/>
        <color theme="1" tint="0.34998626667073579"/>
        <rFont val="Arial"/>
        <family val="2"/>
        <charset val="238"/>
      </rPr>
      <t>Chess</t>
    </r>
  </si>
  <si>
    <r>
      <t xml:space="preserve">Szermierka
</t>
    </r>
    <r>
      <rPr>
        <sz val="8"/>
        <color theme="1" tint="0.34998626667073579"/>
        <rFont val="Arial"/>
        <family val="2"/>
        <charset val="238"/>
      </rPr>
      <t>Fencing</t>
    </r>
  </si>
  <si>
    <r>
      <t xml:space="preserve">Tenis
</t>
    </r>
    <r>
      <rPr>
        <sz val="8"/>
        <color theme="1" tint="0.34998626667073579"/>
        <rFont val="Arial"/>
        <family val="2"/>
        <charset val="238"/>
      </rPr>
      <t>Tennis</t>
    </r>
  </si>
  <si>
    <r>
      <t xml:space="preserve">Triathlon
</t>
    </r>
    <r>
      <rPr>
        <sz val="8"/>
        <color theme="1" tint="0.34998626667073579"/>
        <rFont val="Arial"/>
        <family val="2"/>
        <charset val="238"/>
      </rPr>
      <t>Triathlon</t>
    </r>
  </si>
  <si>
    <r>
      <t xml:space="preserve">Warcaby
</t>
    </r>
    <r>
      <rPr>
        <sz val="8"/>
        <color theme="1" tint="0.34998626667073579"/>
        <rFont val="Arial"/>
        <family val="2"/>
        <charset val="238"/>
      </rPr>
      <t>Draughts</t>
    </r>
  </si>
  <si>
    <r>
      <t xml:space="preserve">Wędkarstwo
</t>
    </r>
    <r>
      <rPr>
        <sz val="8"/>
        <color theme="1" tint="0.34998626667073579"/>
        <rFont val="Arial"/>
        <family val="2"/>
        <charset val="238"/>
      </rPr>
      <t>Angling</t>
    </r>
  </si>
  <si>
    <r>
      <t xml:space="preserve">Wioślarstwo
</t>
    </r>
    <r>
      <rPr>
        <sz val="8"/>
        <color theme="1" tint="0.34998626667073579"/>
        <rFont val="Arial"/>
        <family val="2"/>
        <charset val="238"/>
      </rPr>
      <t>Rowing</t>
    </r>
  </si>
  <si>
    <r>
      <t xml:space="preserve">Wrotkarstwo
</t>
    </r>
    <r>
      <rPr>
        <sz val="8"/>
        <color theme="1" tint="0.34998626667073579"/>
        <rFont val="Arial"/>
        <family val="2"/>
        <charset val="238"/>
      </rPr>
      <t>Roller skating</t>
    </r>
  </si>
  <si>
    <r>
      <t xml:space="preserve">Wu-Shu
</t>
    </r>
    <r>
      <rPr>
        <sz val="8"/>
        <color theme="1" tint="0.34998626667073579"/>
        <rFont val="Arial"/>
        <family val="2"/>
        <charset val="238"/>
      </rPr>
      <t>Wu-Shu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</si>
  <si>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Wrestling</t>
    </r>
  </si>
  <si>
    <r>
      <t xml:space="preserve">zapasy w stylu klasycznym
</t>
    </r>
    <r>
      <rPr>
        <sz val="8"/>
        <color theme="1" tint="0.34998626667073579"/>
        <rFont val="Arial"/>
        <family val="2"/>
        <charset val="238"/>
      </rPr>
      <t>Greco-Roman wrestling</t>
    </r>
  </si>
  <si>
    <r>
      <t xml:space="preserve">zapasy w stylu wolnym
</t>
    </r>
    <r>
      <rPr>
        <sz val="8"/>
        <color theme="1" tint="0.34998626667073579"/>
        <rFont val="Arial"/>
        <family val="2"/>
        <charset val="238"/>
      </rPr>
      <t>freestyle wrestling</t>
    </r>
  </si>
  <si>
    <r>
      <t xml:space="preserve">grapling
</t>
    </r>
    <r>
      <rPr>
        <sz val="8"/>
        <color theme="1" tint="0.34998626667073579"/>
        <rFont val="Arial"/>
        <family val="2"/>
        <charset val="238"/>
      </rPr>
      <t>grappling</t>
    </r>
  </si>
  <si>
    <r>
      <t xml:space="preserve">Żeglarstwo
</t>
    </r>
    <r>
      <rPr>
        <sz val="8"/>
        <color theme="1" tint="0.34998626667073579"/>
        <rFont val="Arial"/>
        <family val="2"/>
        <charset val="238"/>
      </rPr>
      <t>Sailing</t>
    </r>
  </si>
  <si>
    <r>
      <t xml:space="preserve">    żeglarstwo (regatowe)
    </t>
    </r>
    <r>
      <rPr>
        <sz val="8"/>
        <color theme="1" tint="0.34998626667073579"/>
        <rFont val="Arial"/>
        <family val="2"/>
        <charset val="238"/>
      </rPr>
      <t>sailing</t>
    </r>
  </si>
  <si>
    <r>
      <t xml:space="preserve">    żeglarstwo deskowe
    </t>
    </r>
    <r>
      <rPr>
        <sz val="8"/>
        <color theme="1" tint="0.34998626667073579"/>
        <rFont val="Arial"/>
        <family val="2"/>
        <charset val="238"/>
      </rPr>
      <t>windsurfing</t>
    </r>
  </si>
  <si>
    <r>
      <t xml:space="preserve">    żeglarstwo lodowe
    </t>
    </r>
    <r>
      <rPr>
        <sz val="8"/>
        <color theme="1" tint="0.34998626667073579"/>
        <rFont val="Arial"/>
        <family val="2"/>
        <charset val="238"/>
      </rPr>
      <t>ice yachting</t>
    </r>
  </si>
  <si>
    <r>
      <t xml:space="preserve">    </t>
    </r>
    <r>
      <rPr>
        <sz val="8"/>
        <color theme="1"/>
        <rFont val="Arial"/>
        <family val="2"/>
        <charset val="238"/>
      </rPr>
      <t>kitesurfing</t>
    </r>
    <r>
      <rPr>
        <sz val="8"/>
        <color rgb="FFFF0000"/>
        <rFont val="Arial"/>
        <family val="2"/>
        <charset val="238"/>
      </rPr>
      <t xml:space="preserve">
    </t>
    </r>
    <r>
      <rPr>
        <sz val="8"/>
        <color theme="1" tint="0.34998626667073579"/>
        <rFont val="Arial"/>
        <family val="2"/>
        <charset val="238"/>
      </rPr>
      <t>kitesurfing</t>
    </r>
  </si>
  <si>
    <r>
      <t xml:space="preserve">    </t>
    </r>
    <r>
      <rPr>
        <sz val="8"/>
        <color theme="1"/>
        <rFont val="Arial"/>
        <family val="2"/>
        <charset val="238"/>
      </rPr>
      <t>morskie żeglarstwo  
    sportowe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    offshore sport sailing</t>
    </r>
  </si>
  <si>
    <t>a Osoba ćwicząca wykazywana jest tyle razy, w ilu rodzajach sportów występuje. b Łącznie z hokejem na łyżworolkach. c Łącznie z karate tradycyjnym. d Łącznie z short track.</t>
  </si>
  <si>
    <t>a A person practising sport is indicated as many times as the number of sports she/he practices. b Including in-line hockey. 
c Including traditional karate. d Including short track.</t>
  </si>
  <si>
    <r>
      <t xml:space="preserve">z liczby ogółem - juniorzy i juniorki
</t>
    </r>
    <r>
      <rPr>
        <sz val="8"/>
        <color theme="1" tint="0.34998626667073579"/>
        <rFont val="Arial"/>
        <family val="2"/>
        <charset val="238"/>
      </rPr>
      <t>of total number - juniors</t>
    </r>
  </si>
  <si>
    <r>
      <t>Karate</t>
    </r>
    <r>
      <rPr>
        <b/>
        <vertAlign val="superscript"/>
        <sz val="8"/>
        <color rgb="FF000000"/>
        <rFont val="Arial"/>
        <family val="2"/>
        <charset val="238"/>
      </rPr>
      <t xml:space="preserve">b 
</t>
    </r>
    <r>
      <rPr>
        <sz val="8"/>
        <color theme="1" tint="0.34998626667073579"/>
        <rFont val="Arial"/>
        <family val="2"/>
        <charset val="238"/>
      </rPr>
      <t>Karate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b </t>
    </r>
  </si>
  <si>
    <r>
      <t>Koszykówka</t>
    </r>
    <r>
      <rPr>
        <b/>
        <vertAlign val="superscript"/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Basketball </t>
    </r>
  </si>
  <si>
    <r>
      <t xml:space="preserve">Narciarstwo klasyczne
</t>
    </r>
    <r>
      <rPr>
        <sz val="8"/>
        <color theme="1" tint="0.34998626667073579"/>
        <rFont val="Arial"/>
        <family val="2"/>
        <charset val="238"/>
      </rPr>
      <t>Nordic sking</t>
    </r>
  </si>
  <si>
    <r>
      <t>Piłka siatkowa</t>
    </r>
    <r>
      <rPr>
        <b/>
        <vertAlign val="superscript"/>
        <sz val="8"/>
        <color rgb="FF000000"/>
        <rFont val="Arial"/>
        <family val="2"/>
        <charset val="238"/>
      </rPr>
      <t>d</t>
    </r>
    <r>
      <rPr>
        <b/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Volleyball</t>
    </r>
    <r>
      <rPr>
        <vertAlign val="superscript"/>
        <sz val="8"/>
        <color theme="1" tint="0.34998626667073579"/>
        <rFont val="Arial"/>
        <family val="2"/>
        <charset val="238"/>
      </rPr>
      <t>d</t>
    </r>
  </si>
  <si>
    <r>
      <t xml:space="preserve">Żeglarstwo
</t>
    </r>
    <r>
      <rPr>
        <b/>
        <sz val="8"/>
        <color theme="1" tint="0.34998626667073579"/>
        <rFont val="Arial"/>
        <family val="2"/>
        <charset val="238"/>
      </rPr>
      <t>Sailing</t>
    </r>
  </si>
  <si>
    <t xml:space="preserve">a Osoba ćwicząca wykazywana jest tyle razy, w ilu rodzajach sportów występuje. b Łącznie z karate tradycyjnym. c Bez piłki nożnej halowej i piłki nożnej plażowej. d Bez piłki siatkowej plażowej. </t>
  </si>
  <si>
    <r>
      <t>Karate</t>
    </r>
    <r>
      <rPr>
        <vertAlign val="superscript"/>
        <sz val="8"/>
        <rFont val="Arial"/>
        <family val="2"/>
        <charset val="238"/>
      </rPr>
      <t xml:space="preserve">b
</t>
    </r>
    <r>
      <rPr>
        <sz val="8"/>
        <color theme="1" tint="0.34998626667073579"/>
        <rFont val="Arial"/>
        <family val="2"/>
        <charset val="238"/>
      </rPr>
      <t>Karate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</si>
  <si>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Kolarstwo górskie
</t>
    </r>
    <r>
      <rPr>
        <sz val="8"/>
        <color theme="1" tint="0.34998626667073579"/>
        <rFont val="Arial"/>
        <family val="2"/>
        <charset val="238"/>
      </rPr>
      <t>Mountain biking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</si>
  <si>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   narciarstwo alpejskie
  </t>
    </r>
    <r>
      <rPr>
        <sz val="8"/>
        <color theme="1" tint="0.34998626667073579"/>
        <rFont val="Arial"/>
        <family val="2"/>
        <charset val="238"/>
      </rPr>
      <t xml:space="preserve"> alpine skiing</t>
    </r>
  </si>
  <si>
    <r>
      <t>Piłka nożna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Football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</si>
  <si>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>Piłka siatkowa</t>
    </r>
    <r>
      <rPr>
        <vertAlign val="superscript"/>
        <sz val="8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Volleyball</t>
    </r>
    <r>
      <rPr>
        <vertAlign val="superscript"/>
        <sz val="8"/>
        <color theme="1" tint="0.34998626667073579"/>
        <rFont val="Arial"/>
        <family val="2"/>
        <charset val="238"/>
      </rPr>
      <t>d</t>
    </r>
  </si>
  <si>
    <r>
      <t>Sporty taneczne</t>
    </r>
    <r>
      <rPr>
        <vertAlign val="superscript"/>
        <sz val="8"/>
        <rFont val="Arial"/>
        <family val="2"/>
        <charset val="238"/>
      </rPr>
      <t>f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Dancesport</t>
    </r>
    <r>
      <rPr>
        <vertAlign val="superscript"/>
        <sz val="8"/>
        <color theme="1" tint="0.34998626667073579"/>
        <rFont val="Arial"/>
        <family val="2"/>
        <charset val="238"/>
      </rPr>
      <t>f</t>
    </r>
  </si>
  <si>
    <r>
      <t>Żeglarstwo</t>
    </r>
    <r>
      <rPr>
        <vertAlign val="superscript"/>
        <sz val="8"/>
        <rFont val="Arial"/>
        <family val="2"/>
        <charset val="238"/>
      </rPr>
      <t>g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Sailing</t>
    </r>
    <r>
      <rPr>
        <vertAlign val="superscript"/>
        <sz val="8"/>
        <color theme="1" tint="0.34998626667073579"/>
        <rFont val="Arial"/>
        <family val="2"/>
        <charset val="238"/>
      </rPr>
      <t>g</t>
    </r>
  </si>
  <si>
    <t>a A person practising sport is indicated as many times as the number of sports she/he practices. b Including traditional karate. c Excluding indoor football and beach football. d Excluding beach volleyball. e Concerns fitness, body-building and powerlifting. f Concerns sport dancing and ballroom dancinge. g Concerns race sailing.</t>
  </si>
  <si>
    <r>
      <t xml:space="preserve">Kolarstwo szosowe
</t>
    </r>
    <r>
      <rPr>
        <sz val="8"/>
        <color theme="1" tint="0.34998626667073579"/>
        <rFont val="Arial"/>
        <family val="2"/>
        <charset val="238"/>
      </rPr>
      <t>Road cycling</t>
    </r>
  </si>
  <si>
    <r>
      <t xml:space="preserve">Narciarstwo klasyczne
</t>
    </r>
    <r>
      <rPr>
        <sz val="8"/>
        <color theme="1" tint="0.34998626667073579"/>
        <rFont val="Arial"/>
        <family val="2"/>
        <charset val="238"/>
      </rPr>
      <t>Nordic skiing</t>
    </r>
  </si>
  <si>
    <r>
      <t>Piłka nożna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Football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</si>
  <si>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Piłka nożna halowa (futsal)
</t>
    </r>
    <r>
      <rPr>
        <sz val="8"/>
        <color theme="1" tint="0.34998626667073579"/>
        <rFont val="Arial"/>
        <family val="2"/>
        <charset val="238"/>
      </rPr>
      <t>Indoor football</t>
    </r>
  </si>
  <si>
    <r>
      <t>Sporty siłowe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Strength sports</t>
    </r>
    <r>
      <rPr>
        <vertAlign val="superscript"/>
        <sz val="8"/>
        <color theme="1" tint="0.34998626667073579"/>
        <rFont val="Arial"/>
        <family val="2"/>
        <charset val="238"/>
      </rPr>
      <t>e</t>
    </r>
  </si>
  <si>
    <r>
      <t xml:space="preserve">Zapasy w stylu klasycznym
</t>
    </r>
    <r>
      <rPr>
        <sz val="8"/>
        <color theme="1" tint="0.34998626667073579"/>
        <rFont val="Arial"/>
        <family val="2"/>
        <charset val="238"/>
      </rPr>
      <t>Greco-Roman wrestling</t>
    </r>
  </si>
  <si>
    <r>
      <t xml:space="preserve">Zapasy w stylu wolnym
</t>
    </r>
    <r>
      <rPr>
        <sz val="8"/>
        <color theme="1" tint="0.34998626667073579"/>
        <rFont val="Arial"/>
        <family val="2"/>
        <charset val="238"/>
      </rPr>
      <t>Freestyle wrestling</t>
    </r>
  </si>
  <si>
    <t xml:space="preserve">a Osoba ćwicząca wykazywana jest tyle razy, w ilu rodzajach sportów występuje. b Łącznie z karate tradycyjnym. c Bez
 piłki nożnej halowej i piłki nożnej plażowej. d Bez piłki siatkowej plażowej. e Dotyczy fitness, kulturystyki i trójboju siłowego. </t>
  </si>
  <si>
    <t xml:space="preserve">a A person practising sport is indicated as many times as the number of sports she/he practices. b Including traditional
 karate. c Excluding indoor football and beach football. d Excluding beach volleyball. e Concerns fitness, body-building and powerlifting. </t>
  </si>
  <si>
    <r>
      <t xml:space="preserve">Ogółem   
</t>
    </r>
    <r>
      <rPr>
        <sz val="8"/>
        <color rgb="FF000000"/>
        <rFont val="Arial"/>
        <family val="2"/>
        <charset val="238"/>
      </rPr>
      <t>Total</t>
    </r>
  </si>
  <si>
    <r>
      <t>Piłka nożna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Football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</si>
  <si>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Piłka siatkowa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Volleyball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</si>
  <si>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Saneczkarstwo
</t>
    </r>
    <r>
      <rPr>
        <sz val="8"/>
        <color theme="1" tint="0.34998626667073579"/>
        <rFont val="Arial"/>
        <family val="2"/>
        <charset val="238"/>
      </rPr>
      <t>Luge</t>
    </r>
  </si>
  <si>
    <r>
      <t xml:space="preserve">a Osoba ćwicząca wykazywana jest tyle razy, w ilu rodzajach sportów występuje. b </t>
    </r>
    <r>
      <rPr>
        <sz val="8"/>
        <color theme="1"/>
        <rFont val="Arial"/>
        <family val="2"/>
        <charset val="238"/>
      </rPr>
      <t>Bez piłki nożnej halowej i piłki nożnej plażowej. 
c Bez piłki siatkowej plażowej.</t>
    </r>
  </si>
  <si>
    <t xml:space="preserve">a A person practising sport is indicated as many times as the number of sports she/he practices. b Excluding indoor football and beach football. c Excluding beach volleyball. </t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</si>
  <si>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   kolarstwo górskie
</t>
    </r>
    <r>
      <rPr>
        <sz val="8"/>
        <color theme="1" tint="0.34998626667073579"/>
        <rFont val="Arial"/>
        <family val="2"/>
        <charset val="238"/>
      </rPr>
      <t xml:space="preserve">   mountain biking</t>
    </r>
  </si>
  <si>
    <r>
      <t xml:space="preserve">   kolarstwo szosowe
</t>
    </r>
    <r>
      <rPr>
        <sz val="8"/>
        <color theme="1" tint="0.34998626667073579"/>
        <rFont val="Arial"/>
        <family val="2"/>
        <charset val="238"/>
      </rPr>
      <t xml:space="preserve">   road cycling</t>
    </r>
  </si>
  <si>
    <r>
      <t xml:space="preserve">Narciarstwo alpejskie
</t>
    </r>
    <r>
      <rPr>
        <sz val="8"/>
        <color theme="1" tint="0.34998626667073579"/>
        <rFont val="Arial"/>
        <family val="2"/>
        <charset val="238"/>
      </rPr>
      <t>Alpine skiing</t>
    </r>
  </si>
  <si>
    <r>
      <t>Piłka nożna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Football</t>
    </r>
    <r>
      <rPr>
        <vertAlign val="superscript"/>
        <sz val="8"/>
        <color theme="1" tint="0.34998626667073579"/>
        <rFont val="Arial"/>
        <family val="2"/>
        <charset val="238"/>
      </rPr>
      <t>e</t>
    </r>
  </si>
  <si>
    <r>
      <t>Piłka siatkowa</t>
    </r>
    <r>
      <rPr>
        <vertAlign val="superscript"/>
        <sz val="8"/>
        <rFont val="Arial"/>
        <family val="2"/>
        <charset val="238"/>
      </rPr>
      <t>f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Volleyball</t>
    </r>
    <r>
      <rPr>
        <vertAlign val="superscript"/>
        <sz val="8"/>
        <color theme="1" tint="0.34998626667073579"/>
        <rFont val="Arial"/>
        <family val="2"/>
        <charset val="238"/>
      </rPr>
      <t>f</t>
    </r>
  </si>
  <si>
    <r>
      <t>Sporty siłowe</t>
    </r>
    <r>
      <rPr>
        <vertAlign val="superscript"/>
        <sz val="8"/>
        <rFont val="Arial"/>
        <family val="2"/>
        <charset val="238"/>
      </rPr>
      <t>g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Strength sports</t>
    </r>
    <r>
      <rPr>
        <vertAlign val="superscript"/>
        <sz val="8"/>
        <color theme="1" tint="0.34998626667073579"/>
        <rFont val="Arial"/>
        <family val="2"/>
        <charset val="238"/>
      </rPr>
      <t>g</t>
    </r>
  </si>
  <si>
    <r>
      <t xml:space="preserve">Taniec sportowy
</t>
    </r>
    <r>
      <rPr>
        <sz val="8"/>
        <color theme="1" tint="0.34998626667073579"/>
        <rFont val="Arial"/>
        <family val="2"/>
        <charset val="238"/>
      </rPr>
      <t>Sport dancing</t>
    </r>
  </si>
  <si>
    <r>
      <t xml:space="preserve">Taniec towarzyski
</t>
    </r>
    <r>
      <rPr>
        <sz val="8"/>
        <color theme="1" tint="0.34998626667073579"/>
        <rFont val="Arial"/>
        <family val="2"/>
        <charset val="238"/>
      </rPr>
      <t>Ballroom dancing</t>
    </r>
  </si>
  <si>
    <r>
      <t>Żeglarstwo</t>
    </r>
    <r>
      <rPr>
        <vertAlign val="superscript"/>
        <sz val="8"/>
        <rFont val="Arial"/>
        <family val="2"/>
        <charset val="238"/>
      </rPr>
      <t>h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Sailing</t>
    </r>
    <r>
      <rPr>
        <vertAlign val="superscript"/>
        <sz val="8"/>
        <color theme="1" tint="0.34998626667073579"/>
        <rFont val="Arial"/>
        <family val="2"/>
        <charset val="238"/>
      </rPr>
      <t>h</t>
    </r>
  </si>
  <si>
    <t>a A person practising sport is indicated as many times as the number of sports she/he practices. b Including in-line hockey. 
c Including traditional karate. d Including short track. e Excluding  indoor football and beach football. f Excluding beach volleyball. 
g Concerns fitness, body-building and powerlifting. h Concerns race sailing.</t>
  </si>
  <si>
    <r>
      <t>Piłka nożna</t>
    </r>
    <r>
      <rPr>
        <vertAlign val="superscript"/>
        <sz val="8"/>
        <rFont val="Arial"/>
        <family val="2"/>
        <charset val="238"/>
      </rPr>
      <t xml:space="preserve">b 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Football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</si>
  <si>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t xml:space="preserve">a Osoba ćwicząca wykazywana jest tyle razy, w ilu rodzajach sportów występuje. b Bez piłki nożnej halowej i piłki nożnej plażowej.
c Bez piłki siatkowej plażowej. </t>
  </si>
  <si>
    <t>a A person practising sport is indicated as many times as the number of sports she/he practices. b Excluding indoor football and beach football. c Excluding beach volleyball.</t>
  </si>
  <si>
    <t>TABL. 11.</t>
  </si>
  <si>
    <t>TABL. 12.</t>
  </si>
  <si>
    <t>TABL. 15.</t>
  </si>
  <si>
    <r>
      <t xml:space="preserve">Kluby wyznaniowe
</t>
    </r>
    <r>
      <rPr>
        <sz val="8"/>
        <color theme="1" tint="0.34998626667073579"/>
        <rFont val="Arial"/>
        <family val="2"/>
        <charset val="238"/>
      </rPr>
      <t>Religious clubs</t>
    </r>
  </si>
  <si>
    <t>UKS</t>
  </si>
  <si>
    <t>SZS</t>
  </si>
  <si>
    <t>LZS</t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</si>
  <si>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  <r>
      <rPr>
        <sz val="8"/>
        <color theme="1"/>
        <rFont val="Arial"/>
        <family val="2"/>
        <charset val="238"/>
      </rPr>
      <t xml:space="preserve">
   AZS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</si>
  <si>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females</t>
    </r>
  </si>
  <si>
    <r>
      <t xml:space="preserve">Inne osoby prowadzące zajęcia
</t>
    </r>
    <r>
      <rPr>
        <sz val="8"/>
        <color theme="1" tint="0.34998626667073579"/>
        <rFont val="Arial"/>
        <family val="2"/>
        <charset val="238"/>
      </rPr>
      <t>Other persons running sports classes</t>
    </r>
  </si>
  <si>
    <r>
      <rPr>
        <sz val="8"/>
        <rFont val="Arial"/>
        <family val="2"/>
        <charset val="238"/>
      </rPr>
      <t>WYSZCZEGÓLNIENIE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SPECIFICATION</t>
    </r>
  </si>
  <si>
    <r>
      <t xml:space="preserve">WOJEWÓDZTWA
</t>
    </r>
    <r>
      <rPr>
        <sz val="8"/>
        <color theme="1" tint="0.34998626667073579"/>
        <rFont val="Arial"/>
        <family val="2"/>
        <charset val="238"/>
      </rPr>
      <t xml:space="preserve">VOIVODSHIPS </t>
    </r>
  </si>
  <si>
    <r>
      <rPr>
        <sz val="8"/>
        <color theme="1" tint="0.34998626667073579"/>
        <rFont val="Arial"/>
        <family val="2"/>
        <charset val="238"/>
      </rPr>
      <t xml:space="preserve">a Coaches, instructors and other persons running sports classes are indicated as many times as the number of sports they are active in. b Including in-line hockey. c Including traditional karate. </t>
    </r>
    <r>
      <rPr>
        <sz val="8"/>
        <color theme="1" tint="0.34998626667073579"/>
        <rFont val="Arial"/>
        <family val="2"/>
        <charset val="238"/>
      </rPr>
      <t>d Including short track.</t>
    </r>
  </si>
  <si>
    <r>
      <t xml:space="preserve">Piłka siatkowa
</t>
    </r>
    <r>
      <rPr>
        <sz val="8"/>
        <color theme="1" tint="0.34998626667073579"/>
        <rFont val="Arial"/>
        <family val="2"/>
        <charset val="238"/>
      </rPr>
      <t>Volleyball</t>
    </r>
  </si>
  <si>
    <r>
      <t xml:space="preserve">Piłka nożna
</t>
    </r>
    <r>
      <rPr>
        <sz val="8"/>
        <color theme="1" tint="0.34998626667073579"/>
        <rFont val="Arial"/>
        <family val="2"/>
        <charset val="238"/>
      </rPr>
      <t>Football</t>
    </r>
  </si>
  <si>
    <r>
      <t xml:space="preserve">Petanque
</t>
    </r>
    <r>
      <rPr>
        <sz val="8"/>
        <color theme="1" tint="0.34998626667073579"/>
        <rFont val="Arial"/>
        <family val="2"/>
        <charset val="238"/>
      </rPr>
      <t>Petanque</t>
    </r>
  </si>
  <si>
    <r>
      <t xml:space="preserve">Lacrosse
</t>
    </r>
    <r>
      <rPr>
        <sz val="8"/>
        <color theme="1" tint="0.34998626667073579"/>
        <rFont val="Arial"/>
        <family val="2"/>
        <charset val="238"/>
      </rPr>
      <t>Lacrosse</t>
    </r>
  </si>
  <si>
    <r>
      <t xml:space="preserve">    kolarstwo szosowe
</t>
    </r>
    <r>
      <rPr>
        <sz val="8"/>
        <color theme="1" tint="0.34998626667073579"/>
        <rFont val="Arial"/>
        <family val="2"/>
        <charset val="238"/>
      </rPr>
      <t xml:space="preserve">    road cycling</t>
    </r>
  </si>
  <si>
    <r>
      <t xml:space="preserve">    kolarstwo przełajowe
</t>
    </r>
    <r>
      <rPr>
        <sz val="8"/>
        <color theme="1" tint="0.34998626667073579"/>
        <rFont val="Arial"/>
        <family val="2"/>
        <charset val="238"/>
      </rPr>
      <t xml:space="preserve">    cyclo-cross</t>
    </r>
  </si>
  <si>
    <r>
      <t xml:space="preserve">Unihokej
</t>
    </r>
    <r>
      <rPr>
        <sz val="8"/>
        <color theme="1" tint="0.34998626667073579"/>
        <rFont val="Arial"/>
        <family val="2"/>
        <charset val="238"/>
      </rPr>
      <t>Floorball</t>
    </r>
  </si>
  <si>
    <r>
      <t xml:space="preserve">Hokej na trawie
</t>
    </r>
    <r>
      <rPr>
        <sz val="8"/>
        <color theme="1" tint="0.34998626667073579"/>
        <rFont val="Arial"/>
        <family val="2"/>
        <charset val="238"/>
      </rPr>
      <t>Hockey</t>
    </r>
  </si>
  <si>
    <r>
      <t xml:space="preserve">gimnastyka sportowa
</t>
    </r>
    <r>
      <rPr>
        <sz val="8"/>
        <color theme="1" tint="0.34998626667073579"/>
        <rFont val="Arial"/>
        <family val="2"/>
        <charset val="238"/>
      </rPr>
      <t>artistic gymnastic</t>
    </r>
  </si>
  <si>
    <r>
      <t xml:space="preserve">gimnastyka artystyczna
</t>
    </r>
    <r>
      <rPr>
        <sz val="8"/>
        <color theme="1" tint="0.34998626667073579"/>
        <rFont val="Arial"/>
        <family val="2"/>
        <charset val="238"/>
      </rPr>
      <t>rhythmic gymnastic</t>
    </r>
  </si>
  <si>
    <r>
      <t xml:space="preserve">w tym  </t>
    </r>
    <r>
      <rPr>
        <sz val="8"/>
        <color theme="1" tint="0.34998626667073579"/>
        <rFont val="Arial"/>
        <family val="2"/>
        <charset val="238"/>
      </rPr>
      <t xml:space="preserve"> of which</t>
    </r>
    <r>
      <rPr>
        <sz val="8"/>
        <rFont val="Arial"/>
        <family val="2"/>
        <charset val="238"/>
      </rPr>
      <t xml:space="preserve">
    żeglarstwo (regatowe)
  </t>
    </r>
    <r>
      <rPr>
        <sz val="8"/>
        <color theme="1" tint="0.34998626667073579"/>
        <rFont val="Arial"/>
        <family val="2"/>
        <charset val="238"/>
      </rPr>
      <t xml:space="preserve">  sailing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</si>
  <si>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    saneczkarstwo
</t>
    </r>
    <r>
      <rPr>
        <sz val="8"/>
        <color theme="1" tint="0.34998626667073579"/>
        <rFont val="Arial"/>
        <family val="2"/>
        <charset val="238"/>
      </rPr>
      <t xml:space="preserve">    luge</t>
    </r>
  </si>
  <si>
    <r>
      <t xml:space="preserve">    kolarstwo torowe
</t>
    </r>
    <r>
      <rPr>
        <sz val="8"/>
        <color theme="1" tint="0.34998626667073579"/>
        <rFont val="Arial"/>
        <family val="2"/>
        <charset val="238"/>
      </rPr>
      <t xml:space="preserve">    track cycling</t>
    </r>
  </si>
  <si>
    <r>
      <t xml:space="preserve">w tym  </t>
    </r>
    <r>
      <rPr>
        <sz val="8"/>
        <color theme="1" tint="0.34998626667073579"/>
        <rFont val="Arial"/>
        <family val="2"/>
        <charset val="238"/>
      </rPr>
      <t xml:space="preserve"> of which</t>
    </r>
    <r>
      <rPr>
        <sz val="8"/>
        <rFont val="Arial"/>
        <family val="2"/>
        <charset val="238"/>
      </rPr>
      <t xml:space="preserve">
    kolarstwo górskie
</t>
    </r>
    <r>
      <rPr>
        <sz val="8"/>
        <color theme="1" tint="0.34998626667073579"/>
        <rFont val="Arial"/>
        <family val="2"/>
        <charset val="238"/>
      </rPr>
      <t xml:space="preserve">    mountain biking</t>
    </r>
  </si>
  <si>
    <r>
      <t xml:space="preserve">unihokej
</t>
    </r>
    <r>
      <rPr>
        <sz val="8"/>
        <color theme="1" tint="0.34998626667073579"/>
        <rFont val="Arial"/>
        <family val="2"/>
        <charset val="238"/>
      </rPr>
      <t>Floorball</t>
    </r>
  </si>
  <si>
    <r>
      <t xml:space="preserve">hokej na trawie
</t>
    </r>
    <r>
      <rPr>
        <sz val="8"/>
        <color theme="1" tint="0.34998626667073579"/>
        <rFont val="Arial"/>
        <family val="2"/>
        <charset val="238"/>
      </rPr>
      <t>Hockey</t>
    </r>
  </si>
  <si>
    <r>
      <t>hokej na lodzie</t>
    </r>
    <r>
      <rPr>
        <vertAlign val="superscript"/>
        <sz val="8"/>
        <rFont val="Arial"/>
        <family val="2"/>
        <charset val="238"/>
      </rPr>
      <t xml:space="preserve">b
</t>
    </r>
    <r>
      <rPr>
        <sz val="8"/>
        <color theme="1" tint="0.34998626667073579"/>
        <rFont val="Arial"/>
        <family val="2"/>
        <charset val="238"/>
      </rPr>
      <t>Ice hockey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</si>
  <si>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t xml:space="preserve">TABL. 17. </t>
  </si>
  <si>
    <t xml:space="preserve">TABL. 18. </t>
  </si>
  <si>
    <t xml:space="preserve">TABL. 19. </t>
  </si>
  <si>
    <t>CZŁONKOWIE KADRY NARODOWEJ W POLSKICH ZWIĄZKACH SPORTOWYCH</t>
  </si>
  <si>
    <t>MEMBERS OF THE NATIONAL TEAM IN POLISH SPORTS ASSOCIATIONS</t>
  </si>
  <si>
    <t>ZAWODNICY ZAREJESTROWANI W POLSKICH ZWIĄZKACH SPORTOWYCH WEGŁUG MAKROREGIONÓW</t>
  </si>
  <si>
    <t>COMPETITORS REGISTERED IN POLISH SPORTS ASSOCIATIONS BY REGION</t>
  </si>
  <si>
    <t>ZAWODNICY ZAREJESTROWANI W POLSKICH ZWIĄZKACH SPORTOWYCH WEGŁUG WOJEWÓDZTW</t>
  </si>
  <si>
    <t>COMPETITORS REGISTERED IN POLISH SPORTS ASSOCIATIONS BY VOIVODSHIP</t>
  </si>
  <si>
    <t>ZAWODNICY ZAREJESTROWANI W POLSKICH ZWIĄZKACH SPORTOWYCH WEGŁUG RODZAJÓW SPORTÓW</t>
  </si>
  <si>
    <t>SĘDZIOWIE SPORTOWI W POLSKICH ZWIĄZKACH SPORTOWYCH WEDŁUG MAKROREGIONÓW</t>
  </si>
  <si>
    <t>SĘDZIOWIE SPORTOWI W POLSKICH ZWIĄZKACH SPORTOWYCH WEDŁUG WOJEWÓDZTW</t>
  </si>
  <si>
    <t>SĘDZIOWIE SPORTOWI W POLSKICH ZWIĄZKACH SPORTOWYCH WEDŁUG RODZAJÓW SPORTÓW</t>
  </si>
  <si>
    <t>SPORTS JUDGES IN POLISH SPORTS ASSOCIATIONS BY KINDS OF SPORTS</t>
  </si>
  <si>
    <r>
      <t>Ogółem
T</t>
    </r>
    <r>
      <rPr>
        <sz val="8"/>
        <color theme="1" tint="0.34998626667073579"/>
        <rFont val="Arial"/>
        <family val="2"/>
        <charset val="238"/>
      </rPr>
      <t>otal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</si>
  <si>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females</t>
    </r>
  </si>
  <si>
    <r>
      <t xml:space="preserve">Z liczby ogółem
</t>
    </r>
    <r>
      <rPr>
        <sz val="8"/>
        <color theme="1" tint="0.34998626667073579"/>
        <rFont val="Arial"/>
        <family val="2"/>
        <charset val="238"/>
      </rPr>
      <t xml:space="preserve">Of total number </t>
    </r>
  </si>
  <si>
    <r>
      <t xml:space="preserve">młodzieżowcy
</t>
    </r>
    <r>
      <rPr>
        <sz val="8"/>
        <color theme="1" tint="0.34998626667073579"/>
        <rFont val="Arial"/>
        <family val="2"/>
        <charset val="238"/>
      </rPr>
      <t>young competitors</t>
    </r>
  </si>
  <si>
    <r>
      <t xml:space="preserve">juniorzy
</t>
    </r>
    <r>
      <rPr>
        <sz val="8"/>
        <color theme="1" tint="0.34998626667073579"/>
        <rFont val="Arial"/>
        <family val="2"/>
        <charset val="238"/>
      </rPr>
      <t>juniors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</si>
  <si>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</si>
  <si>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t>a</t>
  </si>
  <si>
    <t>b</t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</si>
  <si>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</si>
  <si>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juniorzy młodsi "kadeci"
</t>
    </r>
    <r>
      <rPr>
        <sz val="8"/>
        <color theme="1" tint="0.34998626667073579"/>
        <rFont val="Arial"/>
        <family val="2"/>
        <charset val="238"/>
      </rPr>
      <t>younger juniors “cadets”</t>
    </r>
  </si>
  <si>
    <r>
      <t xml:space="preserve">młodzicy
</t>
    </r>
    <r>
      <rPr>
        <sz val="8"/>
        <color theme="1" tint="0.34998626667073579"/>
        <rFont val="Arial"/>
        <family val="2"/>
        <charset val="238"/>
      </rPr>
      <t>sub- juniors</t>
    </r>
  </si>
  <si>
    <r>
      <t xml:space="preserve">dzieci
</t>
    </r>
    <r>
      <rPr>
        <sz val="8"/>
        <color theme="1" tint="0.34998626667073579"/>
        <rFont val="Arial"/>
        <family val="2"/>
        <charset val="238"/>
      </rPr>
      <t>children</t>
    </r>
  </si>
  <si>
    <r>
      <t>POLSKA</t>
    </r>
    <r>
      <rPr>
        <sz val="8"/>
        <rFont val="Arial"/>
        <family val="2"/>
        <charset val="238"/>
      </rPr>
      <t xml:space="preserve">  
</t>
    </r>
    <r>
      <rPr>
        <sz val="8"/>
        <color theme="1" tint="0.34998626667073579"/>
        <rFont val="Arial"/>
        <family val="2"/>
        <charset val="238"/>
      </rPr>
      <t xml:space="preserve">POLAND     </t>
    </r>
    <r>
      <rPr>
        <sz val="8"/>
        <rFont val="Arial"/>
        <family val="2"/>
        <charset val="238"/>
      </rPr>
      <t xml:space="preserve">                      </t>
    </r>
  </si>
  <si>
    <r>
      <t xml:space="preserve">Centralny                            
</t>
    </r>
    <r>
      <rPr>
        <sz val="8"/>
        <color theme="1" tint="0.34998626667073579"/>
        <rFont val="Arial"/>
        <family val="2"/>
        <charset val="238"/>
      </rPr>
      <t xml:space="preserve">Central </t>
    </r>
    <r>
      <rPr>
        <sz val="8"/>
        <rFont val="Arial"/>
        <family val="2"/>
        <charset val="238"/>
      </rPr>
      <t xml:space="preserve">            </t>
    </r>
  </si>
  <si>
    <r>
      <t>POLSKA</t>
    </r>
    <r>
      <rPr>
        <sz val="8"/>
        <rFont val="Arial"/>
        <family val="2"/>
        <charset val="238"/>
      </rPr>
      <t xml:space="preserve">    
</t>
    </r>
    <r>
      <rPr>
        <sz val="8"/>
        <color theme="1" tint="0.34998626667073579"/>
        <rFont val="Arial"/>
        <family val="2"/>
        <charset val="238"/>
      </rPr>
      <t xml:space="preserve">POLAND    </t>
    </r>
    <r>
      <rPr>
        <sz val="8"/>
        <rFont val="Arial"/>
        <family val="2"/>
        <charset val="238"/>
      </rPr>
      <t xml:space="preserve">              </t>
    </r>
  </si>
  <si>
    <r>
      <t xml:space="preserve">Centralny                            
</t>
    </r>
    <r>
      <rPr>
        <sz val="8"/>
        <color theme="1" tint="0.34998626667073579"/>
        <rFont val="Arial"/>
        <family val="2"/>
        <charset val="238"/>
      </rPr>
      <t xml:space="preserve">Central    </t>
    </r>
    <r>
      <rPr>
        <sz val="8"/>
        <rFont val="Arial"/>
        <family val="2"/>
        <charset val="238"/>
      </rPr>
      <t xml:space="preserve">         </t>
    </r>
  </si>
  <si>
    <t>a Łącznie z zawodnikami zagranicznymi występującymi w Polsce. Zawodnicy mogą być wykazani wielokrotnie, jeżeli posiadają licencje w kilku sportach nadzorowanych przez jeden związek sportowy.</t>
  </si>
  <si>
    <t>a Including foreign competitors playing in Poland. Competitors may be shown several times if they are licensed in several sports supervised by one sports association.</t>
  </si>
  <si>
    <r>
      <t>W tym   O</t>
    </r>
    <r>
      <rPr>
        <sz val="8"/>
        <color theme="1" tint="0.34998626667073579"/>
        <rFont val="Arial"/>
        <family val="2"/>
        <charset val="238"/>
      </rPr>
      <t>f which</t>
    </r>
  </si>
  <si>
    <r>
      <t xml:space="preserve">POLSKA
</t>
    </r>
    <r>
      <rPr>
        <sz val="8"/>
        <color theme="1" tint="0.34998626667073579"/>
        <rFont val="Arial"/>
        <family val="2"/>
        <charset val="238"/>
      </rPr>
      <t xml:space="preserve">POLAND  </t>
    </r>
  </si>
  <si>
    <r>
      <t xml:space="preserve">POLSKA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sz val="8"/>
        <rFont val="Arial"/>
        <family val="2"/>
        <charset val="238"/>
      </rPr>
      <t xml:space="preserve"> </t>
    </r>
  </si>
  <si>
    <r>
      <t xml:space="preserve">Baseball i softball
</t>
    </r>
    <r>
      <rPr>
        <sz val="8"/>
        <color theme="1" tint="0.34998626667073579"/>
        <rFont val="Arial"/>
        <family val="2"/>
        <charset val="238"/>
      </rPr>
      <t>Baseball and softball</t>
    </r>
  </si>
  <si>
    <r>
      <t xml:space="preserve">Bobsleje i skeleton
</t>
    </r>
    <r>
      <rPr>
        <sz val="8"/>
        <color theme="1" tint="0.34998626667073579"/>
        <rFont val="Arial"/>
        <family val="2"/>
        <charset val="238"/>
      </rPr>
      <t>Bobsleigh and skeleton</t>
    </r>
  </si>
  <si>
    <r>
      <t xml:space="preserve">Boccia
</t>
    </r>
    <r>
      <rPr>
        <sz val="8"/>
        <color theme="1" tint="0.34998626667073579"/>
        <rFont val="Arial"/>
        <family val="2"/>
        <charset val="238"/>
      </rPr>
      <t>Boccia</t>
    </r>
  </si>
  <si>
    <r>
      <rPr>
        <sz val="8"/>
        <color theme="1"/>
        <rFont val="Arial"/>
        <family val="2"/>
        <charset val="238"/>
      </rPr>
      <t>Golf</t>
    </r>
    <r>
      <rPr>
        <sz val="8"/>
        <color theme="1" tint="0.34998626667073579"/>
        <rFont val="Arial"/>
        <family val="2"/>
        <charset val="238"/>
      </rPr>
      <t xml:space="preserve">
Golf</t>
    </r>
  </si>
  <si>
    <r>
      <t>Hokej na lodzie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Ice hockey</t>
    </r>
  </si>
  <si>
    <r>
      <t>Karate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Karate</t>
    </r>
  </si>
  <si>
    <r>
      <t xml:space="preserve">Kręglarstwo
</t>
    </r>
    <r>
      <rPr>
        <sz val="8"/>
        <color theme="1" tint="0.34998626667073579"/>
        <rFont val="Arial"/>
        <family val="2"/>
        <charset val="238"/>
      </rPr>
      <t>Bowling</t>
    </r>
  </si>
  <si>
    <r>
      <t>Łyżwiarstwo szybkie</t>
    </r>
    <r>
      <rPr>
        <vertAlign val="superscript"/>
        <sz val="8"/>
        <rFont val="Arial"/>
        <family val="2"/>
        <charset val="238"/>
      </rPr>
      <t xml:space="preserve">b
</t>
    </r>
    <r>
      <rPr>
        <sz val="8"/>
        <color theme="1" tint="0.34998626667073579"/>
        <rFont val="Arial"/>
        <family val="2"/>
        <charset val="238"/>
      </rPr>
      <t>Speed skating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</si>
  <si>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sz val="8"/>
        <rFont val="Arial"/>
        <family val="2"/>
        <charset val="238"/>
      </rPr>
      <t>Petanque</t>
    </r>
    <r>
      <rPr>
        <sz val="8"/>
        <color theme="1" tint="0.34998626667073579"/>
        <rFont val="Arial"/>
        <family val="2"/>
        <charset val="238"/>
      </rPr>
      <t xml:space="preserve">                     Petanque</t>
    </r>
  </si>
  <si>
    <r>
      <rPr>
        <sz val="8"/>
        <color theme="1"/>
        <rFont val="Arial"/>
        <family val="2"/>
        <charset val="238"/>
      </rPr>
      <t>Podnoszenie ciężarów</t>
    </r>
    <r>
      <rPr>
        <sz val="8"/>
        <color theme="1" tint="0.34998626667073579"/>
        <rFont val="Arial"/>
        <family val="2"/>
        <charset val="238"/>
      </rPr>
      <t xml:space="preserve">
Weight lifting</t>
    </r>
  </si>
  <si>
    <r>
      <t xml:space="preserve">Przeciąganie liny
</t>
    </r>
    <r>
      <rPr>
        <sz val="8"/>
        <color theme="1" tint="0.34998626667073579"/>
        <rFont val="Arial"/>
        <family val="2"/>
        <charset val="238"/>
      </rPr>
      <t>Tug of war</t>
    </r>
  </si>
  <si>
    <r>
      <t xml:space="preserve">Snooker i bilard angielski
</t>
    </r>
    <r>
      <rPr>
        <sz val="8"/>
        <color theme="1" tint="0.34998626667073579"/>
        <rFont val="Arial"/>
        <family val="2"/>
        <charset val="238"/>
      </rPr>
      <t>Snooker and English billiards</t>
    </r>
  </si>
  <si>
    <r>
      <t xml:space="preserve">Sport motorowodny i narciarstwo wodne
</t>
    </r>
    <r>
      <rPr>
        <sz val="8"/>
        <color theme="1" tint="0.34998626667073579"/>
        <rFont val="Arial"/>
        <family val="2"/>
        <charset val="238"/>
      </rPr>
      <t>Motorboating and water skiin</t>
    </r>
    <r>
      <rPr>
        <sz val="8"/>
        <color theme="1"/>
        <rFont val="Arial"/>
        <family val="2"/>
        <charset val="238"/>
      </rPr>
      <t>g</t>
    </r>
  </si>
  <si>
    <r>
      <t xml:space="preserve">Sporty osób niesłyszących
</t>
    </r>
    <r>
      <rPr>
        <sz val="8"/>
        <color theme="1" tint="0.34998626667073579"/>
        <rFont val="Arial"/>
        <family val="2"/>
        <charset val="238"/>
      </rPr>
      <t>Sports of deaf people</t>
    </r>
  </si>
  <si>
    <r>
      <t xml:space="preserve">Squash                                </t>
    </r>
    <r>
      <rPr>
        <sz val="8"/>
        <color theme="1" tint="0.34998626667073579"/>
        <rFont val="Arial"/>
        <family val="2"/>
        <charset val="238"/>
      </rPr>
      <t>Squash</t>
    </r>
  </si>
  <si>
    <r>
      <t xml:space="preserve">Rugby na wózkach
</t>
    </r>
    <r>
      <rPr>
        <sz val="8"/>
        <color theme="1" tint="0.34998626667073579"/>
        <rFont val="Arial"/>
        <family val="2"/>
        <charset val="238"/>
      </rPr>
      <t>Wheelchair Rugby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</si>
  <si>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color rgb="FF000000"/>
        <rFont val="Arial"/>
        <family val="2"/>
        <charset val="238"/>
      </rPr>
      <t xml:space="preserve">
</t>
    </r>
    <r>
      <rPr>
        <b/>
        <sz val="8"/>
        <color rgb="FF000000"/>
        <rFont val="Arial"/>
        <family val="2"/>
        <charset val="238"/>
      </rPr>
      <t>a</t>
    </r>
    <r>
      <rPr>
        <sz val="8"/>
        <color rgb="FF000000"/>
        <rFont val="Arial"/>
        <family val="2"/>
        <charset val="238"/>
      </rPr>
      <t xml:space="preserve"> – ogółem
</t>
    </r>
    <r>
      <rPr>
        <sz val="8"/>
        <color theme="1" tint="0.34998626667073579"/>
        <rFont val="Arial"/>
        <family val="2"/>
        <charset val="238"/>
      </rPr>
      <t>total</t>
    </r>
    <r>
      <rPr>
        <sz val="8"/>
        <color rgb="FF000000"/>
        <rFont val="Arial"/>
        <family val="2"/>
        <charset val="238"/>
      </rPr>
      <t xml:space="preserve">
</t>
    </r>
    <r>
      <rPr>
        <b/>
        <sz val="8"/>
        <color rgb="FF000000"/>
        <rFont val="Arial"/>
        <family val="2"/>
        <charset val="238"/>
      </rPr>
      <t xml:space="preserve">b </t>
    </r>
    <r>
      <rPr>
        <sz val="8"/>
        <color rgb="FF000000"/>
        <rFont val="Arial"/>
        <family val="2"/>
        <charset val="238"/>
      </rPr>
      <t xml:space="preserve">– w tym z klasą międzynarodową
</t>
    </r>
    <r>
      <rPr>
        <sz val="8"/>
        <color theme="1" tint="0.34998626667073579"/>
        <rFont val="Arial"/>
        <family val="2"/>
        <charset val="238"/>
      </rPr>
      <t>of which internationa</t>
    </r>
  </si>
  <si>
    <r>
      <t xml:space="preserve">POLSKA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sz val="8"/>
        <rFont val="Arial"/>
        <family val="2"/>
        <charset val="238"/>
      </rPr>
      <t xml:space="preserve">                        </t>
    </r>
  </si>
  <si>
    <r>
      <t xml:space="preserve">Centralny                            
</t>
    </r>
    <r>
      <rPr>
        <sz val="8"/>
        <color theme="1" tint="0.34998626667073579"/>
        <rFont val="Arial"/>
        <family val="2"/>
        <charset val="238"/>
      </rPr>
      <t xml:space="preserve">Central     </t>
    </r>
  </si>
  <si>
    <r>
      <t xml:space="preserve">Południowy
</t>
    </r>
    <r>
      <rPr>
        <sz val="8"/>
        <color theme="1" tint="0.34998626667073579"/>
        <rFont val="Arial"/>
        <family val="2"/>
        <charset val="238"/>
      </rPr>
      <t xml:space="preserve">Southern </t>
    </r>
  </si>
  <si>
    <r>
      <t xml:space="preserve">Wschodni
</t>
    </r>
    <r>
      <rPr>
        <sz val="8"/>
        <color theme="1" tint="0.34998626667073579"/>
        <rFont val="Arial"/>
        <family val="2"/>
        <charset val="238"/>
      </rPr>
      <t xml:space="preserve">Eastern </t>
    </r>
  </si>
  <si>
    <r>
      <t xml:space="preserve">Pólnocno-zachodni
</t>
    </r>
    <r>
      <rPr>
        <sz val="8"/>
        <color theme="1" tint="0.34998626667073579"/>
        <rFont val="Arial"/>
        <family val="2"/>
        <charset val="238"/>
      </rPr>
      <t xml:space="preserve">North-western </t>
    </r>
  </si>
  <si>
    <r>
      <t xml:space="preserve">Południowo-zachodni
</t>
    </r>
    <r>
      <rPr>
        <sz val="8"/>
        <color theme="1" tint="0.34998626667073579"/>
        <rFont val="Arial"/>
        <family val="2"/>
        <charset val="238"/>
      </rPr>
      <t xml:space="preserve">South-western </t>
    </r>
  </si>
  <si>
    <r>
      <t xml:space="preserve">Północny
</t>
    </r>
    <r>
      <rPr>
        <sz val="8"/>
        <color theme="1" tint="0.34998626667073579"/>
        <rFont val="Arial"/>
        <family val="2"/>
        <charset val="238"/>
      </rPr>
      <t xml:space="preserve">Northern </t>
    </r>
  </si>
  <si>
    <t>a Sędziowie sportowi mogą być wykazani wielokrotnie, jeżeli posiadają licencje w kilku sportach nadzorowanych przez jeden związek sportowy.</t>
  </si>
  <si>
    <t>a Sports judges may be shown several times if they are licensed in several sports supervised by one sports association.</t>
  </si>
  <si>
    <r>
      <t xml:space="preserve">POLSKA
</t>
    </r>
    <r>
      <rPr>
        <sz val="8"/>
        <color theme="1" tint="0.34998626667073579"/>
        <rFont val="Arial"/>
        <family val="2"/>
        <charset val="238"/>
      </rPr>
      <t xml:space="preserve">POLAND   </t>
    </r>
    <r>
      <rPr>
        <sz val="8"/>
        <rFont val="Arial"/>
        <family val="2"/>
        <charset val="238"/>
      </rPr>
      <t xml:space="preserve">   </t>
    </r>
  </si>
  <si>
    <t>a Sędziowie sportowi mogą być wykazani wielokrotnie, jeżeli posiadają licencje w kilku sportach. nadzorowanych przez jeden związek sportowy.</t>
  </si>
  <si>
    <r>
      <t xml:space="preserve">POLSKA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b/>
        <sz val="8"/>
        <rFont val="Arial"/>
        <family val="2"/>
        <charset val="238"/>
      </rPr>
      <t xml:space="preserve"> </t>
    </r>
  </si>
  <si>
    <r>
      <rPr>
        <sz val="8"/>
        <rFont val="Arial"/>
        <family val="2"/>
        <charset val="238"/>
      </rPr>
      <t xml:space="preserve">Petanque
</t>
    </r>
    <r>
      <rPr>
        <sz val="8"/>
        <color theme="1" tint="0.34998626667073579"/>
        <rFont val="Arial"/>
        <family val="2"/>
        <charset val="238"/>
      </rPr>
      <t>Petanque</t>
    </r>
  </si>
  <si>
    <r>
      <t xml:space="preserve">                  SPORTS JUDGES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IN POLISH SPORTS ASSOCIATIONS BY REGION  </t>
    </r>
  </si>
  <si>
    <r>
      <t xml:space="preserve">                  SPORTS JUDGES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IN POLISH SPORTS ASSOCIATIONS BY VOIVODSHIP  </t>
    </r>
  </si>
  <si>
    <r>
      <t xml:space="preserve">                  COMPETITORS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REGISTERED IN POLISH SPORTS ASSOCIATIONS BY REGION</t>
    </r>
  </si>
  <si>
    <t>TABL. 23.</t>
  </si>
  <si>
    <t>TABL. 27.</t>
  </si>
  <si>
    <t>TABL. 28.</t>
  </si>
  <si>
    <r>
      <t xml:space="preserve">Wydatki budżetów jednostek samorządu terytorialnego w tys. zł                                    </t>
    </r>
    <r>
      <rPr>
        <sz val="8"/>
        <color theme="1" tint="0.34998626667073579"/>
        <rFont val="Arial"/>
        <family val="2"/>
        <charset val="238"/>
      </rPr>
      <t xml:space="preserve"> Local government units budgets expenditure in thousand PLN</t>
    </r>
  </si>
  <si>
    <r>
      <t xml:space="preserve">WYDATKI OGÓŁEM
</t>
    </r>
    <r>
      <rPr>
        <sz val="8"/>
        <color theme="1" tint="0.34998626667073579"/>
        <rFont val="Arial"/>
        <family val="2"/>
        <charset val="238"/>
      </rPr>
      <t xml:space="preserve">TOTAL EXPENDITURE  </t>
    </r>
  </si>
  <si>
    <r>
      <t xml:space="preserve">      w tym w rozdziałach
     </t>
    </r>
    <r>
      <rPr>
        <sz val="8"/>
        <color theme="1" tint="0.34998626667073579"/>
        <rFont val="Arial"/>
        <family val="2"/>
        <charset val="238"/>
      </rPr>
      <t xml:space="preserve"> of which in chapters</t>
    </r>
  </si>
  <si>
    <r>
      <t xml:space="preserve">Obiekty sportowe
</t>
    </r>
    <r>
      <rPr>
        <sz val="8"/>
        <color theme="1" tint="0.34998626667073579"/>
        <rFont val="Arial"/>
        <family val="2"/>
        <charset val="238"/>
      </rPr>
      <t>Sport facilites</t>
    </r>
  </si>
  <si>
    <r>
      <t xml:space="preserve">Instytucje kultury fizycznej                        </t>
    </r>
    <r>
      <rPr>
        <sz val="8"/>
        <color theme="1" tint="0.34998626667073579"/>
        <rFont val="Arial"/>
        <family val="2"/>
        <charset val="238"/>
      </rPr>
      <t>Institutions of physical education</t>
    </r>
    <r>
      <rPr>
        <sz val="8"/>
        <color theme="1"/>
        <rFont val="Arial"/>
        <family val="2"/>
        <charset val="238"/>
      </rPr>
      <t xml:space="preserve">                                        </t>
    </r>
  </si>
  <si>
    <r>
      <t xml:space="preserve">Zadania w zakresie kultury fizycznej
</t>
    </r>
    <r>
      <rPr>
        <sz val="8"/>
        <color theme="1" tint="0.34998626667073579"/>
        <rFont val="Arial"/>
        <family val="2"/>
        <charset val="238"/>
      </rPr>
      <t>Tasks related to physical education</t>
    </r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</si>
  <si>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 xml:space="preserve">Total        </t>
    </r>
    <r>
      <rPr>
        <sz val="8"/>
        <color theme="1"/>
        <rFont val="Arial"/>
        <family val="2"/>
        <charset val="238"/>
      </rPr>
      <t xml:space="preserve">                                       </t>
    </r>
  </si>
  <si>
    <r>
      <t>Samorząd</t>
    </r>
    <r>
      <rPr>
        <sz val="8"/>
        <color theme="1" tint="0.34998626667073579"/>
        <rFont val="Arial"/>
        <family val="2"/>
        <charset val="238"/>
      </rPr>
      <t xml:space="preserve"> 
Local government</t>
    </r>
  </si>
  <si>
    <r>
      <t>gminny</t>
    </r>
    <r>
      <rPr>
        <sz val="8"/>
        <color theme="1" tint="0.34998626667073579"/>
        <rFont val="Arial"/>
        <family val="2"/>
        <charset val="238"/>
      </rPr>
      <t xml:space="preserve"> 
gmina</t>
    </r>
  </si>
  <si>
    <r>
      <t xml:space="preserve">powiatowy 
</t>
    </r>
    <r>
      <rPr>
        <sz val="8"/>
        <color theme="1" tint="0.34998626667073579"/>
        <rFont val="Arial"/>
        <family val="2"/>
        <charset val="238"/>
      </rPr>
      <t>powiats</t>
    </r>
  </si>
  <si>
    <r>
      <t xml:space="preserve">miast na prawach powiatu
</t>
    </r>
    <r>
      <rPr>
        <sz val="8"/>
        <color theme="1" tint="0.34998626667073579"/>
        <rFont val="Arial"/>
        <family val="2"/>
        <charset val="238"/>
      </rPr>
      <t>city with powiat status</t>
    </r>
  </si>
  <si>
    <r>
      <t xml:space="preserve">województw 
</t>
    </r>
    <r>
      <rPr>
        <sz val="8"/>
        <color theme="1" tint="0.34998626667073579"/>
        <rFont val="Arial"/>
        <family val="2"/>
        <charset val="238"/>
      </rPr>
      <t>voivodship</t>
    </r>
  </si>
  <si>
    <r>
      <t xml:space="preserve">obiekty sportowe
</t>
    </r>
    <r>
      <rPr>
        <sz val="8"/>
        <color theme="1" tint="0.34998626667073579"/>
        <rFont val="Arial"/>
        <family val="2"/>
        <charset val="238"/>
      </rPr>
      <t>sport facilites</t>
    </r>
  </si>
  <si>
    <r>
      <t xml:space="preserve">zadania w zakresie kultury fizycznej 
</t>
    </r>
    <r>
      <rPr>
        <sz val="8"/>
        <color theme="1" tint="0.34998626667073579"/>
        <rFont val="Arial"/>
        <family val="2"/>
        <charset val="238"/>
      </rPr>
      <t>tasks related to physical education</t>
    </r>
  </si>
  <si>
    <r>
      <t xml:space="preserve">w tysiącach złotych
</t>
    </r>
    <r>
      <rPr>
        <sz val="8"/>
        <color theme="1" tint="0.34998626667073579"/>
        <rFont val="Arial"/>
        <family val="2"/>
        <charset val="238"/>
      </rPr>
      <t>in thousand PLN</t>
    </r>
  </si>
  <si>
    <r>
      <t xml:space="preserve">Jednostki
</t>
    </r>
    <r>
      <rPr>
        <sz val="8"/>
        <color theme="1" tint="0.34998626667073579"/>
        <rFont val="Arial"/>
        <family val="2"/>
        <charset val="238"/>
      </rPr>
      <t>Entities</t>
    </r>
  </si>
  <si>
    <r>
      <t xml:space="preserve">Członkowie
</t>
    </r>
    <r>
      <rPr>
        <sz val="8"/>
        <color theme="1" tint="0.34998626667073579"/>
        <rFont val="Arial"/>
        <family val="2"/>
        <charset val="238"/>
      </rPr>
      <t>Members</t>
    </r>
  </si>
  <si>
    <r>
      <t xml:space="preserve">Imprezy
</t>
    </r>
    <r>
      <rPr>
        <sz val="8"/>
        <color theme="1" tint="0.34998626667073579"/>
        <rFont val="Arial"/>
        <family val="2"/>
        <charset val="238"/>
      </rPr>
      <t>Events</t>
    </r>
  </si>
  <si>
    <r>
      <t xml:space="preserve">Uczestnicy
</t>
    </r>
    <r>
      <rPr>
        <sz val="8"/>
        <color theme="1" tint="0.34998626667073579"/>
        <rFont val="Arial"/>
        <family val="2"/>
        <charset val="238"/>
      </rPr>
      <t>Participants</t>
    </r>
  </si>
  <si>
    <r>
      <t xml:space="preserve">z liczby ogółem
</t>
    </r>
    <r>
      <rPr>
        <sz val="8"/>
        <color theme="1" tint="0.34998626667073579"/>
        <rFont val="Arial"/>
        <family val="2"/>
        <charset val="238"/>
      </rPr>
      <t>of total number</t>
    </r>
  </si>
  <si>
    <r>
      <t xml:space="preserve"> kobiety
</t>
    </r>
    <r>
      <rPr>
        <sz val="8"/>
        <color theme="1" tint="0.34998626667073579"/>
        <rFont val="Arial"/>
        <family val="2"/>
        <charset val="238"/>
      </rPr>
      <t>females</t>
    </r>
  </si>
  <si>
    <r>
      <t>Uczestnicy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Participants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</si>
  <si>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OGÓŁEM</t>
    </r>
    <r>
      <rPr>
        <b/>
        <vertAlign val="superscript"/>
        <sz val="8"/>
        <color rgb="FF000000"/>
        <rFont val="Arial"/>
        <family val="2"/>
        <charset val="238"/>
      </rPr>
      <t>c</t>
    </r>
    <r>
      <rPr>
        <b/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TOTAL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</si>
  <si>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t>a Łącznie imprezy sportowe i turystyczne. b Łącznie uczestnicy imprez sportowych i turystycznych. c W imprezach i ich uczestnikach uwzględniono również dane dotyczące gminnych i powiatowych zrzeszeń LZS</t>
  </si>
  <si>
    <t>a Sports and tourist events collectively. b Participants of sports and tourist events collectively. c Data on gmina and powiat of LZS association were also included in the data on events and their participants.</t>
  </si>
  <si>
    <r>
      <t xml:space="preserve">POLSKA
</t>
    </r>
    <r>
      <rPr>
        <sz val="8"/>
        <rFont val="Arial"/>
        <family val="2"/>
        <charset val="238"/>
      </rPr>
      <t xml:space="preserve">POLAND  </t>
    </r>
  </si>
  <si>
    <t>DZIAŁALNOŚĆ AKADEMICKIEGO ZWIĄZKU SPORTOWEGO WEDŁUG WOJEWÓDZTW</t>
  </si>
  <si>
    <t xml:space="preserve">TABL. 34. </t>
  </si>
  <si>
    <t>DZIAŁALNOŚĆ TOWARZYSTWA KRZEWIENIA KULTURY FIZYCZNEJ WEDŁUG WOJEWÓDZTW</t>
  </si>
  <si>
    <t>DZIAŁALNOŚĆ POLSKIEGO ZWIĄZKU SPORTU NIEPEŁNOSPRAWNYCH "START" WEDŁUG WOJEWÓDZTW</t>
  </si>
  <si>
    <r>
      <t xml:space="preserve">POLSKA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</si>
  <si>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r>
      <t xml:space="preserve">Sportowe imprezy masowe
</t>
    </r>
    <r>
      <rPr>
        <sz val="8"/>
        <color theme="1" tint="0.34998626667073579"/>
        <rFont val="Arial"/>
        <family val="2"/>
        <charset val="238"/>
      </rPr>
      <t>Sports mass events</t>
    </r>
  </si>
  <si>
    <r>
      <t xml:space="preserve">Uczestnicy imprez
</t>
    </r>
    <r>
      <rPr>
        <sz val="8"/>
        <color theme="1" tint="0.34998626667073579"/>
        <rFont val="Arial"/>
        <family val="2"/>
        <charset val="238"/>
      </rPr>
      <t>Participants</t>
    </r>
  </si>
  <si>
    <r>
      <t xml:space="preserve">w obiekcie zamkniętym
</t>
    </r>
    <r>
      <rPr>
        <sz val="8"/>
        <color theme="1" tint="0.34998626667073579"/>
        <rFont val="Arial"/>
        <family val="2"/>
        <charset val="238"/>
      </rPr>
      <t>indoor sports</t>
    </r>
  </si>
  <si>
    <r>
      <t xml:space="preserve">na terenie otwartym
</t>
    </r>
    <r>
      <rPr>
        <sz val="8"/>
        <color theme="1" tint="0.34998626667073579"/>
        <rFont val="Arial"/>
        <family val="2"/>
        <charset val="238"/>
      </rPr>
      <t>outdoor sports</t>
    </r>
  </si>
  <si>
    <r>
      <t xml:space="preserve">wstęp wolny
</t>
    </r>
    <r>
      <rPr>
        <sz val="8"/>
        <color theme="1" tint="0.34998626667073579"/>
        <rFont val="Arial"/>
        <family val="2"/>
        <charset val="238"/>
      </rPr>
      <t>free admission</t>
    </r>
  </si>
  <si>
    <r>
      <t xml:space="preserve">wstęp płatny
</t>
    </r>
    <r>
      <rPr>
        <sz val="8"/>
        <color theme="1" tint="0.34998626667073579"/>
        <rFont val="Arial"/>
        <family val="2"/>
        <charset val="238"/>
      </rPr>
      <t>admission charge</t>
    </r>
  </si>
  <si>
    <t xml:space="preserve">                   SPORTS MASS EVENTS</t>
  </si>
  <si>
    <t>SPORTOWE IMPREZY MASOWE</t>
  </si>
  <si>
    <t>SPORTS MASS EVENTS</t>
  </si>
  <si>
    <t>MEDALE ZDOBYTE PRZEZ ZAWODNIKÓW POLSKICH NA MISTRZOSTWACH ŚWIATA I EUROPY</t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</si>
  <si>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</si>
  <si>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Seniorzy
</t>
    </r>
    <r>
      <rPr>
        <sz val="8"/>
        <color theme="1" tint="0.34998626667073579"/>
        <rFont val="Arial"/>
        <family val="2"/>
        <charset val="238"/>
      </rPr>
      <t>Seniors</t>
    </r>
  </si>
  <si>
    <r>
      <t>Juniorzy</t>
    </r>
    <r>
      <rPr>
        <vertAlign val="superscript"/>
        <sz val="8"/>
        <color rgb="FF000000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Juniors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</si>
  <si>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złote
</t>
    </r>
    <r>
      <rPr>
        <sz val="8"/>
        <color theme="1" tint="0.34998626667073579"/>
        <rFont val="Arial"/>
        <family val="2"/>
        <charset val="238"/>
      </rPr>
      <t>gold</t>
    </r>
  </si>
  <si>
    <r>
      <t xml:space="preserve">brązowe
</t>
    </r>
    <r>
      <rPr>
        <sz val="8"/>
        <color theme="1" tint="0.34998626667073579"/>
        <rFont val="Arial"/>
        <family val="2"/>
        <charset val="238"/>
      </rPr>
      <t>bronze</t>
    </r>
  </si>
  <si>
    <r>
      <t xml:space="preserve">ogółem               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</si>
  <si>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OGÓŁEM 
</t>
    </r>
    <r>
      <rPr>
        <b/>
        <sz val="8"/>
        <color rgb="FF595959"/>
        <rFont val="Arial"/>
        <family val="2"/>
        <charset val="238"/>
      </rPr>
      <t xml:space="preserve">Total </t>
    </r>
  </si>
  <si>
    <r>
      <t xml:space="preserve">Badminton
</t>
    </r>
    <r>
      <rPr>
        <sz val="8"/>
        <color rgb="FF595959"/>
        <rFont val="Arial"/>
        <family val="2"/>
        <charset val="238"/>
      </rPr>
      <t>Badminton</t>
    </r>
  </si>
  <si>
    <r>
      <t xml:space="preserve">Biathlon
</t>
    </r>
    <r>
      <rPr>
        <sz val="8"/>
        <color rgb="FF595959"/>
        <rFont val="Arial"/>
        <family val="2"/>
        <charset val="238"/>
      </rPr>
      <t>Biathlon</t>
    </r>
  </si>
  <si>
    <r>
      <t xml:space="preserve">Brydż sportowy
</t>
    </r>
    <r>
      <rPr>
        <sz val="8"/>
        <color rgb="FF595959"/>
        <rFont val="Arial"/>
        <family val="2"/>
        <charset val="238"/>
      </rPr>
      <t>Bridge</t>
    </r>
  </si>
  <si>
    <r>
      <t xml:space="preserve">Judo
</t>
    </r>
    <r>
      <rPr>
        <sz val="8"/>
        <color rgb="FF595959"/>
        <rFont val="Arial"/>
        <family val="2"/>
        <charset val="238"/>
      </rPr>
      <t>Judo</t>
    </r>
  </si>
  <si>
    <r>
      <t xml:space="preserve">Kajakarstwo
</t>
    </r>
    <r>
      <rPr>
        <sz val="8"/>
        <color rgb="FF595959"/>
        <rFont val="Arial"/>
        <family val="2"/>
        <charset val="238"/>
      </rPr>
      <t>Canoeing</t>
    </r>
  </si>
  <si>
    <r>
      <t xml:space="preserve">Kick-boxing
</t>
    </r>
    <r>
      <rPr>
        <sz val="8"/>
        <color rgb="FF595959"/>
        <rFont val="Arial"/>
        <family val="2"/>
        <charset val="238"/>
      </rPr>
      <t>Kick-boxing</t>
    </r>
  </si>
  <si>
    <r>
      <t xml:space="preserve">Kolarstwo
</t>
    </r>
    <r>
      <rPr>
        <sz val="8"/>
        <color rgb="FF595959"/>
        <rFont val="Arial"/>
        <family val="2"/>
        <charset val="238"/>
      </rPr>
      <t>Cycling</t>
    </r>
  </si>
  <si>
    <r>
      <t xml:space="preserve">Koszykówka
</t>
    </r>
    <r>
      <rPr>
        <sz val="8"/>
        <color rgb="FF595959"/>
        <rFont val="Arial"/>
        <family val="2"/>
        <charset val="238"/>
      </rPr>
      <t>Basketball</t>
    </r>
  </si>
  <si>
    <r>
      <t xml:space="preserve">Kręglarstwo
</t>
    </r>
    <r>
      <rPr>
        <sz val="8"/>
        <color rgb="FF595959"/>
        <rFont val="Arial"/>
        <family val="2"/>
        <charset val="238"/>
      </rPr>
      <t>Bowling</t>
    </r>
  </si>
  <si>
    <r>
      <t xml:space="preserve">Lekkoatletyka
</t>
    </r>
    <r>
      <rPr>
        <sz val="8"/>
        <color rgb="FF595959"/>
        <rFont val="Arial"/>
        <family val="2"/>
        <charset val="238"/>
      </rPr>
      <t>Athletics</t>
    </r>
  </si>
  <si>
    <r>
      <t xml:space="preserve">Muaythai
</t>
    </r>
    <r>
      <rPr>
        <sz val="8"/>
        <color rgb="FF595959"/>
        <rFont val="Arial"/>
        <family val="2"/>
        <charset val="238"/>
      </rPr>
      <t>Muaythai</t>
    </r>
  </si>
  <si>
    <r>
      <t xml:space="preserve">Narciarstwo
</t>
    </r>
    <r>
      <rPr>
        <sz val="8"/>
        <color rgb="FF595959"/>
        <rFont val="Arial"/>
        <family val="2"/>
        <charset val="238"/>
      </rPr>
      <t>Skiing</t>
    </r>
  </si>
  <si>
    <r>
      <t xml:space="preserve">Pięciobój nowoczesny
</t>
    </r>
    <r>
      <rPr>
        <sz val="8"/>
        <color rgb="FF595959"/>
        <rFont val="Arial"/>
        <family val="2"/>
        <charset val="238"/>
      </rPr>
      <t>Modern pentathlon</t>
    </r>
  </si>
  <si>
    <r>
      <t xml:space="preserve">Podnoszenie ciężarów
</t>
    </r>
    <r>
      <rPr>
        <sz val="8"/>
        <color rgb="FF595959"/>
        <rFont val="Arial"/>
        <family val="2"/>
        <charset val="238"/>
      </rPr>
      <t>Weightlifting</t>
    </r>
  </si>
  <si>
    <r>
      <t xml:space="preserve">Snooker i bilard angielski
</t>
    </r>
    <r>
      <rPr>
        <sz val="8"/>
        <color rgb="FF595959"/>
        <rFont val="Arial"/>
        <family val="2"/>
        <charset val="238"/>
      </rPr>
      <t>Snooker and English billiards</t>
    </r>
  </si>
  <si>
    <r>
      <t xml:space="preserve">Sport lotniczy
</t>
    </r>
    <r>
      <rPr>
        <sz val="8"/>
        <color rgb="FF595959"/>
        <rFont val="Arial"/>
        <family val="2"/>
        <charset val="238"/>
      </rPr>
      <t>Air sport</t>
    </r>
  </si>
  <si>
    <r>
      <t xml:space="preserve">Sport motorowodny i narciarstwo wodne
</t>
    </r>
    <r>
      <rPr>
        <sz val="8"/>
        <color rgb="FF595959"/>
        <rFont val="Arial"/>
        <family val="2"/>
        <charset val="238"/>
      </rPr>
      <t>Motorboating and water skiing</t>
    </r>
  </si>
  <si>
    <r>
      <t xml:space="preserve">Sport motorowy
</t>
    </r>
    <r>
      <rPr>
        <sz val="8"/>
        <color rgb="FF595959"/>
        <rFont val="Arial"/>
        <family val="2"/>
        <charset val="238"/>
      </rPr>
      <t>Motorsport</t>
    </r>
  </si>
  <si>
    <r>
      <t xml:space="preserve">Sumo
</t>
    </r>
    <r>
      <rPr>
        <sz val="8"/>
        <color rgb="FF595959"/>
        <rFont val="Arial"/>
        <family val="2"/>
        <charset val="238"/>
      </rPr>
      <t>Sumo</t>
    </r>
  </si>
  <si>
    <r>
      <t xml:space="preserve">Szachy
</t>
    </r>
    <r>
      <rPr>
        <sz val="8"/>
        <color rgb="FF595959"/>
        <rFont val="Arial"/>
        <family val="2"/>
        <charset val="238"/>
      </rPr>
      <t>Chess</t>
    </r>
  </si>
  <si>
    <r>
      <t xml:space="preserve">Taniec sportowy
</t>
    </r>
    <r>
      <rPr>
        <sz val="8"/>
        <color rgb="FF595959"/>
        <rFont val="Arial"/>
        <family val="2"/>
        <charset val="238"/>
      </rPr>
      <t>Sport dancing</t>
    </r>
  </si>
  <si>
    <r>
      <t xml:space="preserve">Tenis
</t>
    </r>
    <r>
      <rPr>
        <sz val="8"/>
        <color rgb="FF595959"/>
        <rFont val="Arial"/>
        <family val="2"/>
        <charset val="238"/>
      </rPr>
      <t xml:space="preserve">Tennis </t>
    </r>
  </si>
  <si>
    <r>
      <t xml:space="preserve">Tenis stołowy
</t>
    </r>
    <r>
      <rPr>
        <sz val="8"/>
        <color rgb="FF595959"/>
        <rFont val="Arial"/>
        <family val="2"/>
        <charset val="238"/>
      </rPr>
      <t>Table tennis</t>
    </r>
  </si>
  <si>
    <r>
      <t xml:space="preserve">Wioślarstwo
</t>
    </r>
    <r>
      <rPr>
        <sz val="8"/>
        <color rgb="FF595959"/>
        <rFont val="Arial"/>
        <family val="2"/>
        <charset val="238"/>
      </rPr>
      <t>Rowing</t>
    </r>
  </si>
  <si>
    <r>
      <t xml:space="preserve">Zapasy
</t>
    </r>
    <r>
      <rPr>
        <sz val="8"/>
        <color rgb="FF595959"/>
        <rFont val="Arial"/>
        <family val="2"/>
        <charset val="238"/>
      </rPr>
      <t>Wrestling</t>
    </r>
  </si>
  <si>
    <r>
      <t xml:space="preserve">Bilard
</t>
    </r>
    <r>
      <rPr>
        <sz val="8"/>
        <color rgb="FF595959"/>
        <rFont val="Arial"/>
        <family val="2"/>
        <charset val="238"/>
      </rPr>
      <t>Billiards</t>
    </r>
  </si>
  <si>
    <r>
      <t xml:space="preserve">Boks
</t>
    </r>
    <r>
      <rPr>
        <sz val="8"/>
        <color rgb="FF595959"/>
        <rFont val="Arial"/>
        <family val="2"/>
        <charset val="238"/>
      </rPr>
      <t xml:space="preserve">Boxing </t>
    </r>
    <r>
      <rPr>
        <sz val="8"/>
        <rFont val="Arial"/>
        <family val="2"/>
        <charset val="238"/>
      </rPr>
      <t xml:space="preserve"> </t>
    </r>
  </si>
  <si>
    <r>
      <t xml:space="preserve">Golf
</t>
    </r>
    <r>
      <rPr>
        <sz val="8"/>
        <color rgb="FF595959"/>
        <rFont val="Arial"/>
        <family val="2"/>
        <charset val="238"/>
      </rPr>
      <t>Golf</t>
    </r>
    <r>
      <rPr>
        <sz val="8"/>
        <rFont val="Arial"/>
        <family val="2"/>
        <charset val="238"/>
      </rPr>
      <t xml:space="preserve">
</t>
    </r>
  </si>
  <si>
    <r>
      <t xml:space="preserve">Kick-boxing
</t>
    </r>
    <r>
      <rPr>
        <sz val="8"/>
        <color rgb="FF595959"/>
        <rFont val="Arial"/>
        <family val="2"/>
        <charset val="238"/>
      </rPr>
      <t>Kick-boxing</t>
    </r>
    <r>
      <rPr>
        <sz val="8"/>
        <rFont val="Arial"/>
        <family val="2"/>
        <charset val="238"/>
      </rPr>
      <t xml:space="preserve">
</t>
    </r>
  </si>
  <si>
    <r>
      <t xml:space="preserve">Lekkoatletyka 
</t>
    </r>
    <r>
      <rPr>
        <sz val="8"/>
        <color rgb="FF595959"/>
        <rFont val="Arial"/>
        <family val="2"/>
        <charset val="238"/>
      </rPr>
      <t>Athletics</t>
    </r>
  </si>
  <si>
    <r>
      <t xml:space="preserve">Łyżwiarstwo szybkie 
</t>
    </r>
    <r>
      <rPr>
        <sz val="8"/>
        <color rgb="FF595959"/>
        <rFont val="Arial"/>
        <family val="2"/>
        <charset val="238"/>
      </rPr>
      <t>Speed skating</t>
    </r>
    <r>
      <rPr>
        <sz val="8"/>
        <rFont val="Arial"/>
        <family val="2"/>
        <charset val="238"/>
      </rPr>
      <t xml:space="preserve">
</t>
    </r>
  </si>
  <si>
    <r>
      <t xml:space="preserve">Orientacja sportowa
</t>
    </r>
    <r>
      <rPr>
        <sz val="8"/>
        <color rgb="FF595959"/>
        <rFont val="Arial"/>
        <family val="2"/>
        <charset val="238"/>
      </rPr>
      <t>Orienteering</t>
    </r>
    <r>
      <rPr>
        <sz val="8"/>
        <rFont val="Arial"/>
        <family val="2"/>
        <charset val="238"/>
      </rPr>
      <t xml:space="preserve">
</t>
    </r>
  </si>
  <si>
    <r>
      <t xml:space="preserve">Pływanie
</t>
    </r>
    <r>
      <rPr>
        <sz val="8"/>
        <color rgb="FF595959"/>
        <rFont val="Arial"/>
        <family val="2"/>
        <charset val="238"/>
      </rPr>
      <t>Swimming</t>
    </r>
  </si>
  <si>
    <r>
      <t xml:space="preserve">Podnoszenie ciężarów
</t>
    </r>
    <r>
      <rPr>
        <sz val="8"/>
        <color rgb="FF595959"/>
        <rFont val="Arial"/>
        <family val="2"/>
        <charset val="238"/>
      </rPr>
      <t>Weight lifting</t>
    </r>
  </si>
  <si>
    <r>
      <t xml:space="preserve">Sport motorowodny i narciarstwo wodne
</t>
    </r>
    <r>
      <rPr>
        <sz val="8"/>
        <color rgb="FF595959"/>
        <rFont val="Arial"/>
        <family val="2"/>
        <charset val="238"/>
      </rPr>
      <t>Motorboating and waterskiing</t>
    </r>
  </si>
  <si>
    <r>
      <t xml:space="preserve">Strzelectwo sportowe
</t>
    </r>
    <r>
      <rPr>
        <sz val="8"/>
        <color rgb="FF595959"/>
        <rFont val="Arial"/>
        <family val="2"/>
        <charset val="238"/>
      </rPr>
      <t>Sport shooting</t>
    </r>
  </si>
  <si>
    <r>
      <t xml:space="preserve">Szermierka
</t>
    </r>
    <r>
      <rPr>
        <sz val="8"/>
        <color rgb="FF595959"/>
        <rFont val="Arial"/>
        <family val="2"/>
        <charset val="238"/>
      </rPr>
      <t>Fencing</t>
    </r>
  </si>
  <si>
    <r>
      <t xml:space="preserve">Tenis
</t>
    </r>
    <r>
      <rPr>
        <sz val="8"/>
        <color rgb="FF595959"/>
        <rFont val="Arial"/>
        <family val="2"/>
        <charset val="238"/>
      </rPr>
      <t>Tennis</t>
    </r>
    <r>
      <rPr>
        <sz val="8"/>
        <rFont val="Arial"/>
        <family val="2"/>
        <charset val="238"/>
      </rPr>
      <t xml:space="preserve">
</t>
    </r>
  </si>
  <si>
    <r>
      <t xml:space="preserve">Kolarstwo
</t>
    </r>
    <r>
      <rPr>
        <sz val="8"/>
        <color rgb="FF595959"/>
        <rFont val="Arial"/>
        <family val="2"/>
        <charset val="238"/>
      </rPr>
      <t xml:space="preserve">Cycling  </t>
    </r>
  </si>
  <si>
    <r>
      <t xml:space="preserve">Szachy
</t>
    </r>
    <r>
      <rPr>
        <sz val="8"/>
        <color rgb="FF595959"/>
        <rFont val="Arial"/>
        <family val="2"/>
        <charset val="238"/>
      </rPr>
      <t xml:space="preserve">Chess  </t>
    </r>
  </si>
  <si>
    <r>
      <t xml:space="preserve">Boks
</t>
    </r>
    <r>
      <rPr>
        <sz val="8"/>
        <color rgb="FF595959"/>
        <rFont val="Arial"/>
        <family val="2"/>
        <charset val="238"/>
      </rPr>
      <t xml:space="preserve">Boxing  </t>
    </r>
  </si>
  <si>
    <r>
      <t xml:space="preserve">Golf
</t>
    </r>
    <r>
      <rPr>
        <sz val="8"/>
        <color rgb="FF595959"/>
        <rFont val="Arial"/>
        <family val="2"/>
        <charset val="238"/>
      </rPr>
      <t xml:space="preserve">Golf  </t>
    </r>
  </si>
  <si>
    <r>
      <t xml:space="preserve">Kajakarstwo
</t>
    </r>
    <r>
      <rPr>
        <sz val="8"/>
        <color rgb="FF595959"/>
        <rFont val="Arial"/>
        <family val="2"/>
        <charset val="238"/>
      </rPr>
      <t xml:space="preserve">Canoeing  </t>
    </r>
  </si>
  <si>
    <r>
      <t xml:space="preserve">Kolarstwo
</t>
    </r>
    <r>
      <rPr>
        <sz val="8"/>
        <color rgb="FF595959"/>
        <rFont val="Arial"/>
        <family val="2"/>
        <charset val="238"/>
      </rPr>
      <t>Cycling</t>
    </r>
    <r>
      <rPr>
        <sz val="8"/>
        <rFont val="Arial"/>
        <family val="2"/>
        <charset val="238"/>
      </rPr>
      <t xml:space="preserve">  </t>
    </r>
  </si>
  <si>
    <r>
      <t xml:space="preserve">Łyżwiarstwo szybkie
</t>
    </r>
    <r>
      <rPr>
        <sz val="8"/>
        <color rgb="FF595959"/>
        <rFont val="Arial"/>
        <family val="2"/>
        <charset val="238"/>
      </rPr>
      <t xml:space="preserve">Speed skating </t>
    </r>
  </si>
  <si>
    <r>
      <t xml:space="preserve">Sport motorowy
</t>
    </r>
    <r>
      <rPr>
        <sz val="8"/>
        <color rgb="FF595959"/>
        <rFont val="Arial"/>
        <family val="2"/>
        <charset val="238"/>
      </rPr>
      <t xml:space="preserve">Motorsport  </t>
    </r>
  </si>
  <si>
    <r>
      <t xml:space="preserve">Strzelectwo sportowe
</t>
    </r>
    <r>
      <rPr>
        <sz val="8"/>
        <color rgb="FF595959"/>
        <rFont val="Arial"/>
        <family val="2"/>
        <charset val="238"/>
      </rPr>
      <t xml:space="preserve">Sport shooting  </t>
    </r>
  </si>
  <si>
    <r>
      <t xml:space="preserve">OGÓŁEM
</t>
    </r>
    <r>
      <rPr>
        <b/>
        <sz val="8"/>
        <color rgb="FF595959"/>
        <rFont val="Arial"/>
        <family val="2"/>
        <charset val="238"/>
      </rPr>
      <t>TOTAL</t>
    </r>
  </si>
  <si>
    <r>
      <rPr>
        <sz val="8"/>
        <rFont val="Arial"/>
        <family val="2"/>
        <charset val="238"/>
      </rPr>
      <t>Lekkoatletyka</t>
    </r>
    <r>
      <rPr>
        <sz val="8"/>
        <color rgb="FF595959"/>
        <rFont val="Arial"/>
        <family val="2"/>
        <charset val="238"/>
      </rPr>
      <t xml:space="preserve">
Athletics</t>
    </r>
  </si>
  <si>
    <r>
      <rPr>
        <sz val="8"/>
        <rFont val="Arial"/>
        <family val="2"/>
        <charset val="238"/>
      </rPr>
      <t>Kolarstwo</t>
    </r>
    <r>
      <rPr>
        <sz val="8"/>
        <color rgb="FF595959"/>
        <rFont val="Arial"/>
        <family val="2"/>
        <charset val="238"/>
      </rPr>
      <t xml:space="preserve">
Cycling</t>
    </r>
  </si>
  <si>
    <r>
      <rPr>
        <sz val="8"/>
        <rFont val="Arial"/>
        <family val="2"/>
        <charset val="238"/>
      </rPr>
      <t>Łucznictwo</t>
    </r>
    <r>
      <rPr>
        <sz val="8"/>
        <color rgb="FF595959"/>
        <rFont val="Arial"/>
        <family val="2"/>
        <charset val="238"/>
      </rPr>
      <t xml:space="preserve">
Archery</t>
    </r>
  </si>
  <si>
    <r>
      <rPr>
        <sz val="8"/>
        <rFont val="Arial"/>
        <family val="2"/>
        <charset val="238"/>
      </rPr>
      <t>Pływanie</t>
    </r>
    <r>
      <rPr>
        <sz val="8"/>
        <color rgb="FF595959"/>
        <rFont val="Arial"/>
        <family val="2"/>
        <charset val="238"/>
      </rPr>
      <t xml:space="preserve">
Swimming</t>
    </r>
  </si>
  <si>
    <r>
      <rPr>
        <sz val="8"/>
        <rFont val="Arial"/>
        <family val="2"/>
        <charset val="238"/>
      </rPr>
      <t>Showdown</t>
    </r>
    <r>
      <rPr>
        <sz val="8"/>
        <color rgb="FF595959"/>
        <rFont val="Arial"/>
        <family val="2"/>
        <charset val="238"/>
      </rPr>
      <t xml:space="preserve">
Showdown</t>
    </r>
  </si>
  <si>
    <r>
      <rPr>
        <sz val="8"/>
        <rFont val="Arial"/>
        <family val="2"/>
        <charset val="238"/>
      </rPr>
      <t>Strzelectwo sportowe</t>
    </r>
    <r>
      <rPr>
        <sz val="8"/>
        <color rgb="FF595959"/>
        <rFont val="Arial"/>
        <family val="2"/>
        <charset val="238"/>
      </rPr>
      <t xml:space="preserve">
Sport shooting</t>
    </r>
  </si>
  <si>
    <r>
      <rPr>
        <sz val="8"/>
        <rFont val="Arial"/>
        <family val="2"/>
        <charset val="238"/>
      </rPr>
      <t>Szachy</t>
    </r>
    <r>
      <rPr>
        <sz val="8"/>
        <color rgb="FF595959"/>
        <rFont val="Arial"/>
        <family val="2"/>
        <charset val="238"/>
      </rPr>
      <t xml:space="preserve">
Chess</t>
    </r>
  </si>
  <si>
    <r>
      <rPr>
        <sz val="8"/>
        <rFont val="Arial"/>
        <family val="2"/>
        <charset val="238"/>
      </rPr>
      <t>Tenis stołowy</t>
    </r>
    <r>
      <rPr>
        <sz val="8"/>
        <color rgb="FF595959"/>
        <rFont val="Arial"/>
        <family val="2"/>
        <charset val="238"/>
      </rPr>
      <t xml:space="preserve">
Table tennis</t>
    </r>
  </si>
  <si>
    <r>
      <rPr>
        <sz val="8"/>
        <rFont val="Arial"/>
        <family val="2"/>
        <charset val="238"/>
      </rPr>
      <t>Wioślarstwo</t>
    </r>
    <r>
      <rPr>
        <sz val="8"/>
        <color rgb="FF595959"/>
        <rFont val="Arial"/>
        <family val="2"/>
        <charset val="238"/>
      </rPr>
      <t xml:space="preserve">
Rowing</t>
    </r>
  </si>
  <si>
    <r>
      <rPr>
        <sz val="8"/>
        <rFont val="Arial"/>
        <family val="2"/>
        <charset val="238"/>
      </rPr>
      <t>Szachy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Chess</t>
    </r>
  </si>
  <si>
    <r>
      <rPr>
        <b/>
        <sz val="8"/>
        <rFont val="Arial"/>
        <family val="2"/>
        <charset val="238"/>
      </rPr>
      <t>OGÓŁEM</t>
    </r>
    <r>
      <rPr>
        <b/>
        <sz val="8"/>
        <color rgb="FF595959"/>
        <rFont val="Arial"/>
        <family val="2"/>
        <charset val="238"/>
      </rPr>
      <t xml:space="preserve">
TOTAL</t>
    </r>
  </si>
  <si>
    <r>
      <rPr>
        <sz val="8"/>
        <rFont val="Arial"/>
        <family val="2"/>
        <charset val="238"/>
      </rPr>
      <t>Kręglarstwo</t>
    </r>
    <r>
      <rPr>
        <sz val="8"/>
        <color rgb="FF595959"/>
        <rFont val="Arial"/>
        <family val="2"/>
        <charset val="238"/>
      </rPr>
      <t xml:space="preserve">
Bowling</t>
    </r>
  </si>
  <si>
    <r>
      <t xml:space="preserve">OGÓŁEM
</t>
    </r>
    <r>
      <rPr>
        <b/>
        <sz val="8"/>
        <color theme="1" tint="0.34998626667073579"/>
        <rFont val="Arial"/>
        <family val="2"/>
        <charset val="238"/>
      </rPr>
      <t>TOTAL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</si>
  <si>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</si>
  <si>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Sekcje 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</si>
  <si>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Ćwiczący        
</t>
    </r>
    <r>
      <rPr>
        <sz val="8"/>
        <color theme="1" tint="0.34998626667073579"/>
        <rFont val="Arial"/>
        <family val="2"/>
        <charset val="238"/>
      </rPr>
      <t xml:space="preserve"> Persons practising sports </t>
    </r>
  </si>
  <si>
    <r>
      <t xml:space="preserve">w tym         
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</si>
  <si>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kobiety 
</t>
    </r>
    <r>
      <rPr>
        <sz val="8"/>
        <color theme="1" tint="0.34998626667073579"/>
        <rFont val="Arial"/>
        <family val="2"/>
        <charset val="238"/>
      </rPr>
      <t>females</t>
    </r>
  </si>
  <si>
    <r>
      <t xml:space="preserve">w wieku do 18
</t>
    </r>
    <r>
      <rPr>
        <sz val="8"/>
        <color theme="1" tint="0.34998626667073579"/>
        <rFont val="Arial"/>
        <family val="2"/>
        <charset val="238"/>
      </rPr>
      <t xml:space="preserve"> latup to age of 18</t>
    </r>
  </si>
  <si>
    <r>
      <t xml:space="preserve">razem         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</si>
  <si>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dziewczęta 
</t>
    </r>
    <r>
      <rPr>
        <sz val="8"/>
        <color theme="1" tint="0.34998626667073579"/>
        <rFont val="Arial"/>
        <family val="2"/>
        <charset val="238"/>
      </rPr>
      <t>of  which girls</t>
    </r>
  </si>
  <si>
    <t>DOLNOŚLĄSKIE</t>
  </si>
  <si>
    <t>REGION DOLNOŚLĄSKIE</t>
  </si>
  <si>
    <t>PODREGION JELENIOGÓRSKI</t>
  </si>
  <si>
    <t>Powiat bolesławiecki</t>
  </si>
  <si>
    <t>Powiat jaworski</t>
  </si>
  <si>
    <t>Powiat kamiennogórski</t>
  </si>
  <si>
    <t>Powiat lubański</t>
  </si>
  <si>
    <t>Powiat lwówecki</t>
  </si>
  <si>
    <t>Powiat zgorzelecki</t>
  </si>
  <si>
    <t>Powiat złotoryjski</t>
  </si>
  <si>
    <t>Powiat m.Jelenia Góra</t>
  </si>
  <si>
    <t>PODREGION LEGNICKO-GŁOGOWSKI</t>
  </si>
  <si>
    <t>Powiat głogowski</t>
  </si>
  <si>
    <t>Powiat górowski</t>
  </si>
  <si>
    <t>Powiat legnicki</t>
  </si>
  <si>
    <t>Powiat lubiński</t>
  </si>
  <si>
    <t>Powiat polkowicki</t>
  </si>
  <si>
    <t>Powiat m.Legnica</t>
  </si>
  <si>
    <t>PODREGION WAŁBRZYSKI</t>
  </si>
  <si>
    <t>Powiat dzierżoniowski</t>
  </si>
  <si>
    <t>Powiat kłodzki</t>
  </si>
  <si>
    <t>Powiat świdnicki</t>
  </si>
  <si>
    <t>Powiat wałbrzyski</t>
  </si>
  <si>
    <t>Powiat ząbkowicki</t>
  </si>
  <si>
    <t xml:space="preserve">Powiat m.Wałbrzych </t>
  </si>
  <si>
    <t>PODREGION WROCŁAWSKI</t>
  </si>
  <si>
    <t>Powiat milicki</t>
  </si>
  <si>
    <t>Powiat oleśnicki</t>
  </si>
  <si>
    <t>Powiat oławski</t>
  </si>
  <si>
    <t>Powiat strzeliński</t>
  </si>
  <si>
    <t>Powiat średzki</t>
  </si>
  <si>
    <t>Powiat trzebnicki</t>
  </si>
  <si>
    <t>Powiat wołowski</t>
  </si>
  <si>
    <t>Powiat wrocławski</t>
  </si>
  <si>
    <t>PODREGION MIASTO WROCŁAW</t>
  </si>
  <si>
    <t>Powiat m.Wrocław</t>
  </si>
  <si>
    <t>KUJAWSKO-POMORSKIE</t>
  </si>
  <si>
    <t>REGION KUJAWSKO-POMORSKIE</t>
  </si>
  <si>
    <t>PODREGION BYDGOSKO-TORUŃSKI</t>
  </si>
  <si>
    <t>Powiat bydgoski</t>
  </si>
  <si>
    <t>Powiat toruński</t>
  </si>
  <si>
    <t>Powiat m.Bydgoszcz</t>
  </si>
  <si>
    <t>Powiat m.Toruń</t>
  </si>
  <si>
    <t>PODREGION GRUDZIĄDZKI</t>
  </si>
  <si>
    <t>Powiat brodnicki</t>
  </si>
  <si>
    <t>Powiat chełmiński</t>
  </si>
  <si>
    <t>Powiat golubsko-dobrzyński</t>
  </si>
  <si>
    <t>Powiat grudziądzki</t>
  </si>
  <si>
    <t>Powiat rypiński</t>
  </si>
  <si>
    <t>Powiat wąbrzeski</t>
  </si>
  <si>
    <t>Powiat m.Grudziądz</t>
  </si>
  <si>
    <t>PODREGION WŁOCŁAWSKI</t>
  </si>
  <si>
    <t>Powiat aleksandrowski</t>
  </si>
  <si>
    <t>Powiat lipnowski</t>
  </si>
  <si>
    <t>Powiat radziejowski</t>
  </si>
  <si>
    <t>Powiat włocławski</t>
  </si>
  <si>
    <t>Powiat m.Włocławek</t>
  </si>
  <si>
    <t>PODREGION INOWROCŁAWSKI</t>
  </si>
  <si>
    <t>Powiat inowrocławski</t>
  </si>
  <si>
    <t>Powiat mogileński</t>
  </si>
  <si>
    <t>Powiat nakielski</t>
  </si>
  <si>
    <t>Powiat żniński</t>
  </si>
  <si>
    <t>PODREGION ŚWIECKI</t>
  </si>
  <si>
    <t>Powiat sępoleński</t>
  </si>
  <si>
    <t>Powiat świecki</t>
  </si>
  <si>
    <t>Powiat tucholski</t>
  </si>
  <si>
    <t>LUBELSKIE</t>
  </si>
  <si>
    <t>REGION LUBELSKIE</t>
  </si>
  <si>
    <t>PODREGION BIALSKI</t>
  </si>
  <si>
    <t>Powiat bialski</t>
  </si>
  <si>
    <t>Powiat parczewski</t>
  </si>
  <si>
    <t>Powiat radzyński</t>
  </si>
  <si>
    <t>Powiat włodawski</t>
  </si>
  <si>
    <t>Powiat m.Biała Podlaska</t>
  </si>
  <si>
    <t>PODREGION CHEŁMSKO-ZAMOJSKI</t>
  </si>
  <si>
    <t>Powiat biłgorajski</t>
  </si>
  <si>
    <t>Powiat chełmski</t>
  </si>
  <si>
    <t>Powiat hrubieszowski</t>
  </si>
  <si>
    <t>Powiat krasnostawski</t>
  </si>
  <si>
    <t>Powiat tomaszowski</t>
  </si>
  <si>
    <t>Powiat zamojski</t>
  </si>
  <si>
    <t>Powiat m.Chełm</t>
  </si>
  <si>
    <t>Powiat m.Zamość</t>
  </si>
  <si>
    <t>PODREGION LUBELSKI</t>
  </si>
  <si>
    <t>Powiat lubartowski</t>
  </si>
  <si>
    <t>Powiat lubelski</t>
  </si>
  <si>
    <t>Powiat łęczyński</t>
  </si>
  <si>
    <t>Powiat m.Lublin</t>
  </si>
  <si>
    <t>PODREGION PUŁAWSKI</t>
  </si>
  <si>
    <t>Powiat janowski</t>
  </si>
  <si>
    <t>Powiat kraśnicki</t>
  </si>
  <si>
    <t>Powiat łukowski</t>
  </si>
  <si>
    <t>Powiat opolski</t>
  </si>
  <si>
    <t>Powiat puławski</t>
  </si>
  <si>
    <t>Powiat rycki</t>
  </si>
  <si>
    <t>LUBUSKIE</t>
  </si>
  <si>
    <t>REGION LUBUSKIE</t>
  </si>
  <si>
    <t>PODREGION GORZOWSKI</t>
  </si>
  <si>
    <t>Powiat gorzowski</t>
  </si>
  <si>
    <t>Powiat międzyrzecki</t>
  </si>
  <si>
    <t>Powiat słubicki</t>
  </si>
  <si>
    <t>Powiat strzelecko-drezdenecki</t>
  </si>
  <si>
    <t>Powiat sulęciński</t>
  </si>
  <si>
    <t>Powiat m.Gorzów Wielkopolski</t>
  </si>
  <si>
    <t>PODREGION ZIELONOGÓRSKI</t>
  </si>
  <si>
    <t>Powiat krośnieński</t>
  </si>
  <si>
    <t>Powiat nowosolski</t>
  </si>
  <si>
    <t>Powiat świebodziński</t>
  </si>
  <si>
    <t>Powiat zielonogórski</t>
  </si>
  <si>
    <t>Powiat żagański</t>
  </si>
  <si>
    <t>Powiat żarski</t>
  </si>
  <si>
    <t>Powiat wschowski</t>
  </si>
  <si>
    <t>Powiat m.Zielona Góra</t>
  </si>
  <si>
    <t>ŁÓDZKIE</t>
  </si>
  <si>
    <t>REGION ŁÓDZKIE</t>
  </si>
  <si>
    <t>PODREGION ŁÓDZKI</t>
  </si>
  <si>
    <t>Powiat łódzki wschodni</t>
  </si>
  <si>
    <t>Powiat pabianicki</t>
  </si>
  <si>
    <t>Powiat zgierski</t>
  </si>
  <si>
    <t>Powiat brzeziński</t>
  </si>
  <si>
    <t>PODREGION MIASTO ŁÓDŹ</t>
  </si>
  <si>
    <t>Powiat m.Łódź</t>
  </si>
  <si>
    <t>PODREGION PIOTRKOWSKI</t>
  </si>
  <si>
    <t>Powiat bełchatowski</t>
  </si>
  <si>
    <t>Powiat opoczyński</t>
  </si>
  <si>
    <t>Powiat piotrkowski</t>
  </si>
  <si>
    <t>Powiat radomszczański</t>
  </si>
  <si>
    <t>Powiat m.Piotrków Trybunalski</t>
  </si>
  <si>
    <t>PODREGION SIERADZKI</t>
  </si>
  <si>
    <t>Powiat łaski</t>
  </si>
  <si>
    <t>Powiat pajęczański</t>
  </si>
  <si>
    <t>Powiat poddębicki</t>
  </si>
  <si>
    <t>Powiat sieradzki</t>
  </si>
  <si>
    <t>Powiat wieluński</t>
  </si>
  <si>
    <t>Powiat wieruszowski</t>
  </si>
  <si>
    <t>Powiat zduńskowolski</t>
  </si>
  <si>
    <t>PODREGION SKIERNIEWICKI</t>
  </si>
  <si>
    <t>Powiat kutnowski</t>
  </si>
  <si>
    <t>Powiat łęczycki</t>
  </si>
  <si>
    <t>Powiat łowicki</t>
  </si>
  <si>
    <t>Powiat rawski</t>
  </si>
  <si>
    <t>Powiat skierniewicki</t>
  </si>
  <si>
    <t>Powiat m.Skierniewice</t>
  </si>
  <si>
    <t>MAŁOPOLSKIE</t>
  </si>
  <si>
    <t>REGION MAŁOPOLSKIE</t>
  </si>
  <si>
    <t>PODREGION KRAKOWSKI</t>
  </si>
  <si>
    <t>Powiat bocheński</t>
  </si>
  <si>
    <t>Powiat krakowski</t>
  </si>
  <si>
    <t>Powiat miechowski</t>
  </si>
  <si>
    <t>Powiat myślenicki</t>
  </si>
  <si>
    <t>Powiat proszowicki</t>
  </si>
  <si>
    <t>Powiat wielicki</t>
  </si>
  <si>
    <t>PODREGION MIASTO KRAKÓW</t>
  </si>
  <si>
    <t>Powiat m.Kraków</t>
  </si>
  <si>
    <t>PODREGION NOWOSĄDECKI</t>
  </si>
  <si>
    <t>Powiat gorlicki</t>
  </si>
  <si>
    <t>Powiat limanowski</t>
  </si>
  <si>
    <t>Powiat nowosądecki</t>
  </si>
  <si>
    <t>Powiat m.Nowy Sącz</t>
  </si>
  <si>
    <t>PODREGION OŚWIĘCIMSKI</t>
  </si>
  <si>
    <t>Powiat chrzanowski</t>
  </si>
  <si>
    <t>Powiat olkuski</t>
  </si>
  <si>
    <t>Powiat oświęcimski</t>
  </si>
  <si>
    <t>Powiat wadowicki</t>
  </si>
  <si>
    <t>PODREGION TARNOWSKI</t>
  </si>
  <si>
    <t>Powiat brzeski</t>
  </si>
  <si>
    <t>Powiat dąbrowski</t>
  </si>
  <si>
    <t>Powiat tarnowski</t>
  </si>
  <si>
    <t>Powiat m.Tarnów</t>
  </si>
  <si>
    <t>PODREGION NOWOTARSKI</t>
  </si>
  <si>
    <t>Powiat nowotarski</t>
  </si>
  <si>
    <t>Powiat suski</t>
  </si>
  <si>
    <t>Powiat tatrzański</t>
  </si>
  <si>
    <t>MAZOWIECKIE</t>
  </si>
  <si>
    <t>REGION WARSZAWSKI STOŁECZNY</t>
  </si>
  <si>
    <t>PODREGION MIASTO WARSZAWA</t>
  </si>
  <si>
    <t>Powiat m. st. Warszawa</t>
  </si>
  <si>
    <t>PODREGION WARSZAWSKI WSCHODNI</t>
  </si>
  <si>
    <t>Powiat legionowski</t>
  </si>
  <si>
    <t>Powiat miński</t>
  </si>
  <si>
    <t>Powiat otwocki</t>
  </si>
  <si>
    <t>Powiat wołomiński</t>
  </si>
  <si>
    <t>PODREGION WARSZAWSKI ZACHODNI</t>
  </si>
  <si>
    <t>Powiat grodziski</t>
  </si>
  <si>
    <t>Powiat nowodworski</t>
  </si>
  <si>
    <t>Powiat piaseczyński</t>
  </si>
  <si>
    <t>Powiat pruszkowski</t>
  </si>
  <si>
    <t>Powiat warszawski zachodni</t>
  </si>
  <si>
    <t>REGION MAZOWIECKI REGIONALNY</t>
  </si>
  <si>
    <t>PODREGION CIECHANOWSKI</t>
  </si>
  <si>
    <t>Powiat ciechanowski</t>
  </si>
  <si>
    <t>Powiat mławski</t>
  </si>
  <si>
    <t>Powiat płoński</t>
  </si>
  <si>
    <t>Powiat pułtuski</t>
  </si>
  <si>
    <t>Powiat żuromiński</t>
  </si>
  <si>
    <t>PODREGION OSTROŁĘCKI</t>
  </si>
  <si>
    <t>Powiat makowski</t>
  </si>
  <si>
    <t>Powiat ostrołęcki</t>
  </si>
  <si>
    <t>Powiat ostrowski</t>
  </si>
  <si>
    <t>Powiat przasnyski</t>
  </si>
  <si>
    <t>Powiat wyszkowski</t>
  </si>
  <si>
    <t>Powiat m.Ostrołęka</t>
  </si>
  <si>
    <t>PODREGION RADOMSKI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</si>
  <si>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</si>
  <si>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</si>
  <si>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</si>
  <si>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</si>
  <si>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</si>
  <si>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</si>
  <si>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</si>
  <si>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Powiat m.Radom</t>
  </si>
  <si>
    <t>PODREGION PŁOCKI</t>
  </si>
  <si>
    <t>Powiat gostyniński</t>
  </si>
  <si>
    <t>Powiat płocki</t>
  </si>
  <si>
    <t>Powiat sierpecki</t>
  </si>
  <si>
    <t>Powiat m.Płock</t>
  </si>
  <si>
    <t>PODREGION SIEDLECKI</t>
  </si>
  <si>
    <t>Powiat garwoliński</t>
  </si>
  <si>
    <t>Powiat łosicki</t>
  </si>
  <si>
    <t>Powiat siedlecki</t>
  </si>
  <si>
    <t>Powiat sokołowski</t>
  </si>
  <si>
    <t>Powiat węgrowski</t>
  </si>
  <si>
    <t>Powiat m.Siedlce</t>
  </si>
  <si>
    <t>PODREGION ŻYRARDOWSKI</t>
  </si>
  <si>
    <t>Powiat grójecki</t>
  </si>
  <si>
    <t>Powiat sochaczewski</t>
  </si>
  <si>
    <t>Powiat żyrardowski</t>
  </si>
  <si>
    <t>OPOLSKIE</t>
  </si>
  <si>
    <t>REGION OPOLSKIE</t>
  </si>
  <si>
    <t>PODREGION NYSKI</t>
  </si>
  <si>
    <t>Powiat głubczycki</t>
  </si>
  <si>
    <t>Powiat namysłowski</t>
  </si>
  <si>
    <t>Powiat nyski</t>
  </si>
  <si>
    <t>Powiat prudnicki</t>
  </si>
  <si>
    <t>PODREGION OPOLSKI</t>
  </si>
  <si>
    <t>Powiat kędzierzyńsko-kozielski</t>
  </si>
  <si>
    <t>Powiat kluczborski</t>
  </si>
  <si>
    <t>Powiat krapkowicki</t>
  </si>
  <si>
    <t>Powiat oleski</t>
  </si>
  <si>
    <t>Powiat strzelecki</t>
  </si>
  <si>
    <t>Powiat m.Opole</t>
  </si>
  <si>
    <t>PODKARPACKIE</t>
  </si>
  <si>
    <t>REGION PODKARPACKIE</t>
  </si>
  <si>
    <t>PODREGION KROŚNIEŃSKI</t>
  </si>
  <si>
    <t>Powiat bieszczadzki</t>
  </si>
  <si>
    <t>Powiat brzozowski</t>
  </si>
  <si>
    <t>Powiat jasielski</t>
  </si>
  <si>
    <t>Powiat sanocki</t>
  </si>
  <si>
    <t>Powiat leski</t>
  </si>
  <si>
    <t>Powiat m.Krosno</t>
  </si>
  <si>
    <t>PODREGION PRZEMYSKI</t>
  </si>
  <si>
    <t>Powiat jarosławski</t>
  </si>
  <si>
    <t>Powiat lubaczowski</t>
  </si>
  <si>
    <t>Powiat przemyski</t>
  </si>
  <si>
    <t>Powiat przeworski</t>
  </si>
  <si>
    <t>Powiat m.Przemyśl</t>
  </si>
  <si>
    <t>PODREGION RZESZOWSKI</t>
  </si>
  <si>
    <t>Powiat kolbuszowski</t>
  </si>
  <si>
    <t>Powiat łańcucki</t>
  </si>
  <si>
    <t>Powiat ropczycko-sędziszowski</t>
  </si>
  <si>
    <t>Powiat rzeszowski</t>
  </si>
  <si>
    <t>Powiat strzyżowski</t>
  </si>
  <si>
    <t>Powiat m.Rzeszów</t>
  </si>
  <si>
    <t>PODREGION TARNOBRZESKI</t>
  </si>
  <si>
    <t>Powiat dębicki</t>
  </si>
  <si>
    <t>Powiat leżajski</t>
  </si>
  <si>
    <t>Powiat mielecki</t>
  </si>
  <si>
    <t>Powiat niżański</t>
  </si>
  <si>
    <t>Powiat stalowowolski</t>
  </si>
  <si>
    <t>Powiat tarnobrzeski</t>
  </si>
  <si>
    <t>Powiat m.Tarnobrzeg</t>
  </si>
  <si>
    <t>PODLASKIE</t>
  </si>
  <si>
    <t>REGION PODLASKIE</t>
  </si>
  <si>
    <t>PODREGION BIAŁOSTOCKI</t>
  </si>
  <si>
    <t>Powiat białostocki</t>
  </si>
  <si>
    <t>Powiat sokólski</t>
  </si>
  <si>
    <t>Powiat m.Białystok</t>
  </si>
  <si>
    <t>PODREGION ŁOMŻYŃSKI</t>
  </si>
  <si>
    <t>Powiat bielski</t>
  </si>
  <si>
    <t>Powiat hajnowski</t>
  </si>
  <si>
    <t>Powiat kolneński</t>
  </si>
  <si>
    <t>Powiat łomżyński</t>
  </si>
  <si>
    <t>Powiat siemiatycki</t>
  </si>
  <si>
    <t>Powiat wysokomazowiecki</t>
  </si>
  <si>
    <t>Powiat zambrowski</t>
  </si>
  <si>
    <t>Powiat m.Łomża</t>
  </si>
  <si>
    <t>PODREGION SUWALSKI</t>
  </si>
  <si>
    <t>Powiat augustowski</t>
  </si>
  <si>
    <t>Powiat grajewski</t>
  </si>
  <si>
    <t>Powiat moniecki</t>
  </si>
  <si>
    <t>Powiat sejneński</t>
  </si>
  <si>
    <t>Powiat suwalski</t>
  </si>
  <si>
    <t>Powiat m.Suwałki</t>
  </si>
  <si>
    <t>POMORSKIE</t>
  </si>
  <si>
    <t>REGION POMORSKIE</t>
  </si>
  <si>
    <t>PODREGION GDAŃSKI</t>
  </si>
  <si>
    <t>Powiat gdański</t>
  </si>
  <si>
    <t>Powiat kartuski</t>
  </si>
  <si>
    <t>Powiat pucki</t>
  </si>
  <si>
    <t>Powiat wejherowski</t>
  </si>
  <si>
    <t>PODREGION SŁUPSKI</t>
  </si>
  <si>
    <t>Powiat bytowski</t>
  </si>
  <si>
    <t>Powiat lęborski</t>
  </si>
  <si>
    <t>Powiat słupski</t>
  </si>
  <si>
    <t>Powiat m.Słupsk</t>
  </si>
  <si>
    <t>PODREGION STAROGARDZKI</t>
  </si>
  <si>
    <t>Powiat kwidzyński</t>
  </si>
  <si>
    <t>Powiat malborski</t>
  </si>
  <si>
    <t>Powiat starogardzki</t>
  </si>
  <si>
    <t>Powiat tczewski</t>
  </si>
  <si>
    <t>Powiat sztumski</t>
  </si>
  <si>
    <t>PODREGION TRÓJMIEJSKI</t>
  </si>
  <si>
    <t>Powiat m.Gdańsk</t>
  </si>
  <si>
    <t>Powiat m.Gdynia</t>
  </si>
  <si>
    <t>Powiat m.Sopot</t>
  </si>
  <si>
    <t>PODREGION CHOJNICKI</t>
  </si>
  <si>
    <t>Powiat chojnicki</t>
  </si>
  <si>
    <t>Powiat człuchowski</t>
  </si>
  <si>
    <t>Powiat kościerski</t>
  </si>
  <si>
    <t>ŚLĄSKIE</t>
  </si>
  <si>
    <t>REGION ŚLĄSKIE</t>
  </si>
  <si>
    <t>PODREGION BIELSKI</t>
  </si>
  <si>
    <t>Powiat cieszyński</t>
  </si>
  <si>
    <t>Powiat żywiecki</t>
  </si>
  <si>
    <t>Powiat m.Bielsko-Biała</t>
  </si>
  <si>
    <t>PODREGION BYTOMSKI</t>
  </si>
  <si>
    <t>Powiat lubliniecki</t>
  </si>
  <si>
    <t>Powiat tarnogórski</t>
  </si>
  <si>
    <t>Powiat m.Bytom</t>
  </si>
  <si>
    <t>Powiat m.Piekary Śląskie</t>
  </si>
  <si>
    <t>PODREGION CZĘSTOCHOWSKI</t>
  </si>
  <si>
    <t>Powiat częstochowski</t>
  </si>
  <si>
    <t>Powiat kłobucki</t>
  </si>
  <si>
    <t>Powiat myszkowski</t>
  </si>
  <si>
    <t>Powiat m.Częstochowa</t>
  </si>
  <si>
    <t>PODREGION GLIWICKI</t>
  </si>
  <si>
    <t>Powiat gliwicki</t>
  </si>
  <si>
    <t>Powiat m.Gliwice</t>
  </si>
  <si>
    <t>Powiat m.Zabrze</t>
  </si>
  <si>
    <t>PODREGION KATOWICKI</t>
  </si>
  <si>
    <t>Powiat m.Chorzów</t>
  </si>
  <si>
    <t>Powiat m.Katowice</t>
  </si>
  <si>
    <t>Powiat m.Mysłowice</t>
  </si>
  <si>
    <t>Powiat m.Ruda Śląska</t>
  </si>
  <si>
    <t>Powiat m.Siemianowice Śląskie</t>
  </si>
  <si>
    <t>Powiat m.Świętochłowice</t>
  </si>
  <si>
    <t>PODREGION RYBNICKI</t>
  </si>
  <si>
    <t>Powiat raciborski</t>
  </si>
  <si>
    <t>Powiat rybnicki</t>
  </si>
  <si>
    <t>Powiat wodzisławski</t>
  </si>
  <si>
    <t>Powiat m.Jastrzębie-Zdrój</t>
  </si>
  <si>
    <t>Powiat m.Rybnik</t>
  </si>
  <si>
    <t>Powiat m.Żory</t>
  </si>
  <si>
    <t>PODREGION SOSNOWIECKI</t>
  </si>
  <si>
    <t>Powiat będziński</t>
  </si>
  <si>
    <t>Powiat zawierciański</t>
  </si>
  <si>
    <t>Powiat m.Dąbrowa Górnicza</t>
  </si>
  <si>
    <t>Powiat m.Jaworzno</t>
  </si>
  <si>
    <t>Powiat m.Sosnowiec</t>
  </si>
  <si>
    <t>PODREGION TYSKI</t>
  </si>
  <si>
    <t>Powiat mikołowski</t>
  </si>
  <si>
    <t>Powiat pszczyński</t>
  </si>
  <si>
    <t>Powiat bieruńsko-lędziński</t>
  </si>
  <si>
    <t>Powiat m.Tychy</t>
  </si>
  <si>
    <t>ŚWIĘTOKRZYSKIE</t>
  </si>
  <si>
    <t>REGION ŚWIĘTOKRZYSKIE</t>
  </si>
  <si>
    <t>PODREGION KIELECKI</t>
  </si>
  <si>
    <t>Powiat kielecki</t>
  </si>
  <si>
    <t>Powiat konecki</t>
  </si>
  <si>
    <t>Powiat ostrowiecki</t>
  </si>
  <si>
    <t>Powiat skarżyski</t>
  </si>
  <si>
    <t>Powiat starachowicki</t>
  </si>
  <si>
    <t>Powiat m.Kielce</t>
  </si>
  <si>
    <t>PODREGION SANDOMIERSKO-JĘDRZEJOWSKI</t>
  </si>
  <si>
    <t>Powiat buski</t>
  </si>
  <si>
    <t>Powiat jędrzejowski</t>
  </si>
  <si>
    <t>Powiat kazimierski</t>
  </si>
  <si>
    <t>Powiat opatowski</t>
  </si>
  <si>
    <t>Powiat pińczowski</t>
  </si>
  <si>
    <t>Powiat sandomierski</t>
  </si>
  <si>
    <t>Powiat staszowski</t>
  </si>
  <si>
    <t>Powiat włoszczowski</t>
  </si>
  <si>
    <t>WARMIŃSKO-MAZURSKIE</t>
  </si>
  <si>
    <t>REGION WARMIŃSKO-MAZURSKIE</t>
  </si>
  <si>
    <t>PODREGION ELBLĄSKI</t>
  </si>
  <si>
    <t>Powiat braniewski</t>
  </si>
  <si>
    <t>Powiat działdowski</t>
  </si>
  <si>
    <t>Powiat elbląski</t>
  </si>
  <si>
    <t>Powiat iławski</t>
  </si>
  <si>
    <t>Powiat nowomiejski</t>
  </si>
  <si>
    <t>Powiat ostródzki</t>
  </si>
  <si>
    <t>Powiat m.Elbląg</t>
  </si>
  <si>
    <t>PODREGION EŁCKI</t>
  </si>
  <si>
    <t>Powiat ełcki</t>
  </si>
  <si>
    <t>Powiat giżycki</t>
  </si>
  <si>
    <t>Powiat olecki</t>
  </si>
  <si>
    <t>Powiat piski</t>
  </si>
  <si>
    <t>Powiat gołdapski</t>
  </si>
  <si>
    <t>Powiat węgorzewski</t>
  </si>
  <si>
    <t>PODREGION OLSZTYŃSKI</t>
  </si>
  <si>
    <t>Powiat bartoszycki</t>
  </si>
  <si>
    <t>Powiat kętrzyński</t>
  </si>
  <si>
    <t>Powiat lidzbarski</t>
  </si>
  <si>
    <t>Powiat mrągowski</t>
  </si>
  <si>
    <t>Powiat nidzicki</t>
  </si>
  <si>
    <t>Powiat olsztyński</t>
  </si>
  <si>
    <t>Powiat szczycieński</t>
  </si>
  <si>
    <t>Powiat m.Olsztyn</t>
  </si>
  <si>
    <t>WIELKOPOLSKIE</t>
  </si>
  <si>
    <t>REGION WIELKOPOLSKIE</t>
  </si>
  <si>
    <t>PODREGION KALISKI</t>
  </si>
  <si>
    <t>Powiat jarociński</t>
  </si>
  <si>
    <t>Powiat kaliski</t>
  </si>
  <si>
    <t>Powiat kępiński</t>
  </si>
  <si>
    <t>Powiat krotoszyński</t>
  </si>
  <si>
    <t>Powiat ostrzeszowski</t>
  </si>
  <si>
    <t>Powiat pleszewski</t>
  </si>
  <si>
    <t>Powiat m.Kalisz</t>
  </si>
  <si>
    <t>PODREGION KONIŃSKI</t>
  </si>
  <si>
    <t>Powiat gnieźnieński</t>
  </si>
  <si>
    <t>Powiat kolski</t>
  </si>
  <si>
    <t>Powiat koniński</t>
  </si>
  <si>
    <t>Powiat słupecki</t>
  </si>
  <si>
    <t>Powiat turecki</t>
  </si>
  <si>
    <t>Powiat wrzesiński</t>
  </si>
  <si>
    <t>Powiat m.Konin</t>
  </si>
  <si>
    <t>PODREGION LESZCZYŃSKI</t>
  </si>
  <si>
    <t>Powiat gostyński</t>
  </si>
  <si>
    <t>Powiat kościański</t>
  </si>
  <si>
    <t>Powiat leszczyński</t>
  </si>
  <si>
    <t>Powiat międzychodzki</t>
  </si>
  <si>
    <t>Powiat nowotomyski</t>
  </si>
  <si>
    <t>Powiat rawicki</t>
  </si>
  <si>
    <t>Powiat wolsztyński</t>
  </si>
  <si>
    <t>Powiat m.Leszno</t>
  </si>
  <si>
    <t>PODREGION PILSKI</t>
  </si>
  <si>
    <t>Powiat chodzieski</t>
  </si>
  <si>
    <t>Powiat czarnkowsko-trzcianecki</t>
  </si>
  <si>
    <t>Powiat pilski</t>
  </si>
  <si>
    <t>Powiat wągrowiecki</t>
  </si>
  <si>
    <t>Powiat złotowski</t>
  </si>
  <si>
    <t>PODREGION POZNAŃSKI</t>
  </si>
  <si>
    <t>Powiat obornicki</t>
  </si>
  <si>
    <t>Powiat poznański</t>
  </si>
  <si>
    <t>Powiat szamotulski</t>
  </si>
  <si>
    <t>Powiat śremski</t>
  </si>
  <si>
    <t>PODREGION MIASTO POZNAŃ</t>
  </si>
  <si>
    <t>Powiat m.Poznań</t>
  </si>
  <si>
    <t>ZACHODNIOPOMORSKIE</t>
  </si>
  <si>
    <t>REGION ZACHODNIOPOMORSKIE</t>
  </si>
  <si>
    <t>PODREGION KOSZALIŃSKI</t>
  </si>
  <si>
    <t>Powiat białogardzki</t>
  </si>
  <si>
    <t>Powiat kołobrzeski</t>
  </si>
  <si>
    <t>Powiat koszaliński</t>
  </si>
  <si>
    <t>Powiat sławieński</t>
  </si>
  <si>
    <t>Powiat m.Koszalin</t>
  </si>
  <si>
    <t>PODREGION SZCZECINECKO-PYRZYCKI</t>
  </si>
  <si>
    <t>Powiat choszczeński</t>
  </si>
  <si>
    <t>Powiat drawski</t>
  </si>
  <si>
    <t>Powiat myśliborski</t>
  </si>
  <si>
    <t>Powiat pyrzycki</t>
  </si>
  <si>
    <t>Powiat szczecinecki</t>
  </si>
  <si>
    <t>Powiat świdwiński</t>
  </si>
  <si>
    <t>Powiat wałecki</t>
  </si>
  <si>
    <t>Powiat łobeski</t>
  </si>
  <si>
    <t>PODREGION MIASTO SZCZECIN</t>
  </si>
  <si>
    <t>Powiat m.Szczecin</t>
  </si>
  <si>
    <t>PODREGION SZCZECIŃSKI</t>
  </si>
  <si>
    <t>Powiat goleniowski</t>
  </si>
  <si>
    <t>Powiat gryficki</t>
  </si>
  <si>
    <t>Powiat gryfiński</t>
  </si>
  <si>
    <t>Powiat kamieński</t>
  </si>
  <si>
    <t>Powiat policki</t>
  </si>
  <si>
    <t>Powiat stargardzki</t>
  </si>
  <si>
    <t>Powiat m.Świnoujście</t>
  </si>
  <si>
    <r>
      <t xml:space="preserve">Gimnastyka sportowa
</t>
    </r>
    <r>
      <rPr>
        <sz val="8"/>
        <color theme="1" tint="0.34998626667073579"/>
        <rFont val="Arial"/>
        <family val="2"/>
        <charset val="238"/>
      </rPr>
      <t>Artistic gymnastic</t>
    </r>
  </si>
  <si>
    <r>
      <t xml:space="preserve">Gimnastyka artystyczna
</t>
    </r>
    <r>
      <rPr>
        <sz val="8"/>
        <color theme="1" tint="0.34998626667073579"/>
        <rFont val="Arial"/>
        <family val="2"/>
        <charset val="238"/>
      </rPr>
      <t>Rhythmic gymnastic</t>
    </r>
  </si>
  <si>
    <r>
      <rPr>
        <sz val="8"/>
        <rFont val="Arial"/>
        <family val="2"/>
        <charset val="238"/>
      </rPr>
      <t>Żeglarstwo</t>
    </r>
    <r>
      <rPr>
        <sz val="8"/>
        <color rgb="FF595959"/>
        <rFont val="Arial"/>
        <family val="2"/>
        <charset val="238"/>
      </rPr>
      <t xml:space="preserve">
Sailing</t>
    </r>
  </si>
  <si>
    <t xml:space="preserve">ACTIVITY OF THE UNIVERSITY SPORTS ASSOCIATION BY VOIVODSHIP </t>
  </si>
  <si>
    <t>ACTIVITY OF THE POLISH SPORTS ASSOCIATION FOR THE DISABLED ’’START’’ BY VOIVODSHIP</t>
  </si>
  <si>
    <t>ACTIVITY OF THE SOCIETY FOR PROMOTION OF PHYSICAL CULTURE BY VOIVODSHIP</t>
  </si>
  <si>
    <t xml:space="preserve">                  ACTIVITY OF THE UNIVERSITY SPORTS ASSOCIATION BY VOIVODSHIP </t>
  </si>
  <si>
    <t xml:space="preserve">                   ACTIVITY OF THE POLISH SPORTS ASSOCIATION FOR THE DISABLED ’’START’’ 
                   BY VOIVODSHIP</t>
  </si>
  <si>
    <t xml:space="preserve">                   ACTIVITY OF THE SOCIETY FOR PROMOTION OF PHYSICAL CULTURE BY VOIVODSHIP</t>
  </si>
  <si>
    <t>TABL. 1.   PODSTAWOWE INFORMACJE DOTYCZĄCE KULTURY FIZYCZNEJ</t>
  </si>
  <si>
    <t xml:space="preserve">                 BASIC INFORMATION ON PHYSICAL EDUCATION</t>
  </si>
  <si>
    <r>
      <t xml:space="preserve">BEZ LUDOWYCH KLUBÓW SPORTOWYCH I LUDOWYCH UCZNIOWSKICH KLUBÓW SPORTOWYCH
</t>
    </r>
    <r>
      <rPr>
        <sz val="8"/>
        <color theme="1" tint="0.34998626667073579"/>
        <rFont val="Arial"/>
        <family val="2"/>
        <charset val="238"/>
      </rPr>
      <t>EXCLUDING RURAL SPORTS CLUBS AND RURAL STUDENT SPORTS CLUBS</t>
    </r>
  </si>
  <si>
    <r>
      <t xml:space="preserve">Wydatki w dziale 926 - Kultura fizyczna    
</t>
    </r>
    <r>
      <rPr>
        <sz val="8"/>
        <color theme="1" tint="0.34998626667073579"/>
        <rFont val="Arial"/>
        <family val="2"/>
        <charset val="238"/>
      </rPr>
      <t>Expenditure in the division 926 -Physical education</t>
    </r>
  </si>
  <si>
    <r>
      <t xml:space="preserve">Z ogółem 
</t>
    </r>
    <r>
      <rPr>
        <sz val="8"/>
        <color theme="1" tint="0.34998626667073579"/>
        <rFont val="Arial"/>
        <family val="2"/>
        <charset val="238"/>
      </rPr>
      <t>In total</t>
    </r>
  </si>
  <si>
    <r>
      <t xml:space="preserve">a Trenerzy, instruktorzy i inne osoby prowadzące zajęcia sportowe liczeni są tyle razy, w ilu rodzajach sportów występują. b Łącznie z hokejem na łyżworolkach. c Łącznie z karate tradycyjnym. </t>
    </r>
    <r>
      <rPr>
        <sz val="8"/>
        <rFont val="Arial"/>
        <family val="2"/>
        <charset val="238"/>
      </rPr>
      <t>d Łącznie z short track.</t>
    </r>
  </si>
  <si>
    <r>
      <t xml:space="preserve">kajakarstwo górskie
</t>
    </r>
    <r>
      <rPr>
        <sz val="8"/>
        <color theme="1" tint="0.34998626667073579"/>
        <rFont val="Arial"/>
        <family val="2"/>
        <charset val="238"/>
      </rPr>
      <t>mountain canoeing</t>
    </r>
  </si>
  <si>
    <r>
      <t xml:space="preserve">kajakarstwo klasyczne
</t>
    </r>
    <r>
      <rPr>
        <sz val="8"/>
        <color theme="1" tint="0.34998626667073579"/>
        <rFont val="Arial"/>
        <family val="2"/>
        <charset val="238"/>
      </rPr>
      <t>classic canoeing</t>
    </r>
  </si>
  <si>
    <r>
      <t xml:space="preserve">Kajakarstwo klasyczne
</t>
    </r>
    <r>
      <rPr>
        <sz val="8"/>
        <color theme="1" tint="0.34998626667073579"/>
        <rFont val="Arial"/>
        <family val="2"/>
        <charset val="238"/>
      </rPr>
      <t>Classic canoeing</t>
    </r>
  </si>
  <si>
    <r>
      <t xml:space="preserve">Wydatki w dziale 926 - Kultura fizyczna
</t>
    </r>
    <r>
      <rPr>
        <sz val="8"/>
        <color theme="1" tint="0.34998626667073579"/>
        <rFont val="Arial"/>
        <family val="2"/>
        <charset val="238"/>
      </rPr>
      <t>Expenditure in the division 926 -Physical education</t>
    </r>
  </si>
  <si>
    <r>
      <t xml:space="preserve">Sporty osób niepełnosprawnych
</t>
    </r>
    <r>
      <rPr>
        <sz val="8"/>
        <color theme="1" tint="0.34998626667073579"/>
        <rFont val="Arial"/>
        <family val="2"/>
        <charset val="238"/>
      </rPr>
      <t>Sports for persons with disabilities</t>
    </r>
  </si>
  <si>
    <r>
      <t xml:space="preserve">Freediving
</t>
    </r>
    <r>
      <rPr>
        <sz val="8"/>
        <color theme="1" tint="0.34998626667073579"/>
        <rFont val="Arial"/>
        <family val="2"/>
        <charset val="238"/>
      </rPr>
      <t>Freediving</t>
    </r>
  </si>
  <si>
    <r>
      <t xml:space="preserve">Amp Futbol
</t>
    </r>
    <r>
      <rPr>
        <sz val="8"/>
        <color theme="1" tint="0.34998626667073579"/>
        <rFont val="Arial"/>
        <family val="2"/>
        <charset val="238"/>
      </rPr>
      <t>Amp Futbol</t>
    </r>
  </si>
  <si>
    <r>
      <t xml:space="preserve">Hokej podwodny
</t>
    </r>
    <r>
      <rPr>
        <sz val="8"/>
        <color theme="1" tint="0.34998626667073579"/>
        <rFont val="Arial"/>
        <family val="2"/>
        <charset val="238"/>
      </rPr>
      <t>Underwater hockey</t>
    </r>
  </si>
  <si>
    <r>
      <t>Imprezy</t>
    </r>
    <r>
      <rPr>
        <vertAlign val="superscript"/>
        <sz val="8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Events</t>
    </r>
    <r>
      <rPr>
        <vertAlign val="superscript"/>
        <sz val="8"/>
        <rFont val="Arial"/>
        <family val="2"/>
        <charset val="238"/>
      </rPr>
      <t>a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</si>
  <si>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</si>
  <si>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Ćwiczący (w tys.)
</t>
    </r>
    <r>
      <rPr>
        <sz val="8"/>
        <color theme="1" tint="0.34998626667073579"/>
        <rFont val="Arial"/>
        <family val="2"/>
        <charset val="238"/>
      </rPr>
      <t>Persons practising
sports (in thous.)</t>
    </r>
  </si>
  <si>
    <r>
      <t>Piłka nożna</t>
    </r>
    <r>
      <rPr>
        <b/>
        <vertAlign val="superscript"/>
        <sz val="8"/>
        <color rgb="FF000000"/>
        <rFont val="Arial"/>
        <family val="2"/>
        <charset val="238"/>
      </rPr>
      <t>c</t>
    </r>
    <r>
      <rPr>
        <b/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Football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</si>
  <si>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t>SCOMPETITORS REGISTERED IN POLISH SPORTS ASSOCIATIONS BY KINDS OF SPORTS</t>
  </si>
  <si>
    <t xml:space="preserve">SPORTS JUDGES IN POLISH SPORTS ASSOCIATIONS BY REGION </t>
  </si>
  <si>
    <t>MEDALS WON BY POLISH COMPETITORS IN THE WORLD AND EUROPEAN CHAMPIONSHIPS</t>
  </si>
  <si>
    <t>MEDALE ZDOBYTE PRZEZ POLSKICH SPORTOWCÓW NIEPEŁNOSPRAWNYCH</t>
  </si>
  <si>
    <t>MEDALS WON BY DISABLED POLISH COMPETITORS</t>
  </si>
  <si>
    <t xml:space="preserve">SPORTS JUDGES IN POLISH SPORTS ASSOCIATIONS BY VOIVODSHIP </t>
  </si>
  <si>
    <r>
      <t xml:space="preserve">                  COMPETITORS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REGISTERED IN POLISH SPORTS ASSOCIATIONS BY VOIVODSHIP</t>
    </r>
  </si>
  <si>
    <r>
      <t xml:space="preserve">                  COMPETITORS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REGISTERED IN POLISH SPORTS ASSOCIATIONS BY KINDS OF
                  SPORTS</t>
    </r>
  </si>
  <si>
    <t xml:space="preserve">                  MEDALS WON BY DISABLED POLISH COMPETITORS</t>
  </si>
  <si>
    <t xml:space="preserve">TABL. 9. </t>
  </si>
  <si>
    <t>TABL. 10.</t>
  </si>
  <si>
    <t xml:space="preserve">TABL. 13. </t>
  </si>
  <si>
    <t>TABL. 14.</t>
  </si>
  <si>
    <t xml:space="preserve">TABL. 16. </t>
  </si>
  <si>
    <t>TABL. 22.</t>
  </si>
  <si>
    <t>TABL. 26.</t>
  </si>
  <si>
    <t>TABL. 20.</t>
  </si>
  <si>
    <t xml:space="preserve">TABL. 21. </t>
  </si>
  <si>
    <t>TABL. 24.</t>
  </si>
  <si>
    <t xml:space="preserve">TABL. 25. </t>
  </si>
  <si>
    <t>TABL. 29.</t>
  </si>
  <si>
    <t xml:space="preserve">TABL. 35. </t>
  </si>
  <si>
    <r>
      <t>TABL. 22.   ZAWODNICY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ZAREJESTROWANI W POLSKICH ZWIĄZKACH SPORTOWYCH
                  WEGŁUG MAKROREGIONÓW</t>
    </r>
  </si>
  <si>
    <r>
      <t>TABL. 23.   ZAWODNICY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ZAREJESTROWANI W POLSKICH ZWIĄZKACH SPORTOWYCH
                  WEGŁUG WOJEWÓDZTW</t>
    </r>
  </si>
  <si>
    <r>
      <t>TABL. 24.   ZAWODNICY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ZAREJESTROWANI W POLSKICH ZWIĄZKACH SPORTOWYCH
                  WEGŁUG RODZAJÓW SPORTÓW</t>
    </r>
  </si>
  <si>
    <r>
      <t>TABL. 25.   SĘDZIOWIE SPORTOWI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POLSKICH ZWIĄZKACH SPORTOWYCH
                  WEDŁUG MAKROREGIONÓW</t>
    </r>
  </si>
  <si>
    <r>
      <t>TABL. 26.   SĘDZIOWIE SPORTOWI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POLSKICH ZWIĄZKACH SPORTOWYCH WEDŁUG
                  WOJEWÓDZTW</t>
    </r>
  </si>
  <si>
    <r>
      <t>TABL. 27.   SĘDZIOWIE SPORTOWI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POLSKICH ZWIĄZKACH SPORTOWYCH 
                   WEDŁUG RODZAJÓW SPORTÓW</t>
    </r>
  </si>
  <si>
    <t xml:space="preserve">a Łącznie z zawodnikami zagranicznymi występującymi w Polsce. Zawodnicy mogą być wykazani wielokrotnie, jeżeli posiadają licencje w kilku sportach nadzorowanych przez jeden związek sportowy. </t>
  </si>
  <si>
    <t>DZIAŁALNOŚĆ KRAJOWEGO ZRZESZENIA LUDOWE ZESPOŁY SPORTOWE WEDŁUG WOJEWÓDZTW</t>
  </si>
  <si>
    <t xml:space="preserve">                  ACTIVITY OF THE RURAL SPORTS TEAMS NATIONAL ASSOCIATION BY VOIVODSHIP</t>
  </si>
  <si>
    <t>ACTIVITY OF THE RURAL SPORTS TEAMS NATIONAL ASSOCIATION BY VOIVODSHIP</t>
  </si>
  <si>
    <r>
      <t xml:space="preserve">Krajowe Zrzeszenie Ludowe Zespoły Sportowe
</t>
    </r>
    <r>
      <rPr>
        <sz val="8"/>
        <color theme="1" tint="0.34998626667073579"/>
        <rFont val="Arial"/>
        <family val="2"/>
        <charset val="238"/>
      </rPr>
      <t>Rural Sports Clubs National Association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</si>
  <si>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   hokej na lodzie</t>
    </r>
    <r>
      <rPr>
        <vertAlign val="superscript"/>
        <sz val="8"/>
        <rFont val="Arial"/>
        <family val="2"/>
        <charset val="238"/>
      </rPr>
      <t xml:space="preserve">b
    </t>
    </r>
    <r>
      <rPr>
        <sz val="8"/>
        <color theme="1" tint="0.34998626667073579"/>
        <rFont val="Arial"/>
        <family val="2"/>
        <charset val="238"/>
      </rPr>
      <t>ice hockey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</si>
  <si>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   morskie żeglarstwo sportowe
</t>
    </r>
    <r>
      <rPr>
        <sz val="8"/>
        <color theme="1" tint="0.34998626667073579"/>
        <rFont val="Arial"/>
        <family val="2"/>
        <charset val="238"/>
      </rPr>
      <t xml:space="preserve">    sea sports sailing</t>
    </r>
  </si>
  <si>
    <t>Powiat karkonoski</t>
  </si>
  <si>
    <t>SPORTS SCHOOLS AND SCHOOLS WITH SPORTS SECTIONS</t>
  </si>
  <si>
    <t>SPORTS CHAMPIONSHIP SCHOOLS AND SCHOOLS WITH SPORTS CHAMPIONSHIP SECTIONS</t>
  </si>
  <si>
    <t xml:space="preserve">                  SPORTS SCHOOLS AND SCHOOLS WITH SPORTS SECTIONS</t>
  </si>
  <si>
    <r>
      <t xml:space="preserve">Szkoły
</t>
    </r>
    <r>
      <rPr>
        <sz val="8"/>
        <color theme="1" tint="0.34998626667073579"/>
        <rFont val="Arial"/>
        <family val="2"/>
        <charset val="238"/>
      </rPr>
      <t>Schools</t>
    </r>
  </si>
  <si>
    <r>
      <t xml:space="preserve">Uczniowie
</t>
    </r>
    <r>
      <rPr>
        <sz val="8"/>
        <color theme="1" tint="0.34998626667073579"/>
        <rFont val="Arial"/>
        <family val="2"/>
        <charset val="238"/>
      </rPr>
      <t>Pupils and students</t>
    </r>
  </si>
  <si>
    <r>
      <rPr>
        <b/>
        <sz val="8"/>
        <color rgb="FF000000"/>
        <rFont val="Arial"/>
        <family val="2"/>
        <charset val="238"/>
      </rPr>
      <t>Ogółem</t>
    </r>
    <r>
      <rPr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Total</t>
    </r>
  </si>
  <si>
    <r>
      <rPr>
        <b/>
        <sz val="8"/>
        <color rgb="FF000000"/>
        <rFont val="Arial"/>
        <family val="2"/>
        <charset val="238"/>
      </rPr>
      <t>Szkoły podstawowe</t>
    </r>
    <r>
      <rPr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Primary schools</t>
    </r>
  </si>
  <si>
    <r>
      <t xml:space="preserve">Szkoły ponadpodstawowe
</t>
    </r>
    <r>
      <rPr>
        <sz val="8"/>
        <color theme="1" tint="0.34998626667073579"/>
        <rFont val="Arial"/>
        <family val="2"/>
        <charset val="238"/>
      </rPr>
      <t>Post-primary schools</t>
    </r>
  </si>
  <si>
    <t xml:space="preserve">                  SPORTS CHAMPIONSHIP SCHOOLS AND SCHOOLS WITH SPORTS CHAMPIONSHIP SECTIONS</t>
  </si>
  <si>
    <r>
      <t xml:space="preserve">W tym publiczne
</t>
    </r>
    <r>
      <rPr>
        <sz val="8"/>
        <color theme="1" tint="0.34998626667073579"/>
        <rFont val="Arial"/>
        <family val="2"/>
        <charset val="238"/>
      </rPr>
      <t>Of which public</t>
    </r>
  </si>
  <si>
    <r>
      <t xml:space="preserve">szkoły
</t>
    </r>
    <r>
      <rPr>
        <sz val="8"/>
        <color theme="1" tint="0.34998626667073579"/>
        <rFont val="Arial"/>
        <family val="2"/>
        <charset val="238"/>
      </rPr>
      <t>schools</t>
    </r>
  </si>
  <si>
    <r>
      <t xml:space="preserve">uczniowie
</t>
    </r>
    <r>
      <rPr>
        <sz val="8"/>
        <color theme="1" tint="0.34998626667073579"/>
        <rFont val="Arial"/>
        <family val="2"/>
        <charset val="238"/>
      </rPr>
      <t>pupils and students</t>
    </r>
  </si>
  <si>
    <r>
      <t>uczniowie</t>
    </r>
    <r>
      <rPr>
        <sz val="8"/>
        <color theme="1" tint="0.34998626667073579"/>
        <rFont val="Arial"/>
        <family val="2"/>
        <charset val="238"/>
      </rPr>
      <t xml:space="preserve">
pupils and students</t>
    </r>
  </si>
  <si>
    <r>
      <rPr>
        <sz val="8"/>
        <rFont val="Arial"/>
        <family val="2"/>
        <charset val="238"/>
      </rPr>
      <t>Szermierka na wózkach</t>
    </r>
    <r>
      <rPr>
        <sz val="8"/>
        <color rgb="FF595959"/>
        <rFont val="Arial"/>
        <family val="2"/>
        <charset val="238"/>
      </rPr>
      <t xml:space="preserve">
Wheelchair fencing </t>
    </r>
  </si>
  <si>
    <r>
      <rPr>
        <sz val="8"/>
        <rFont val="Arial"/>
        <family val="2"/>
        <charset val="238"/>
      </rPr>
      <t>Kajakarstwo</t>
    </r>
    <r>
      <rPr>
        <sz val="8"/>
        <color rgb="FF595959"/>
        <rFont val="Arial"/>
        <family val="2"/>
        <charset val="238"/>
      </rPr>
      <t xml:space="preserve">
Canoeing</t>
    </r>
  </si>
  <si>
    <r>
      <rPr>
        <sz val="8"/>
        <rFont val="Arial"/>
        <family val="2"/>
        <charset val="238"/>
      </rPr>
      <t>Taekwondo</t>
    </r>
    <r>
      <rPr>
        <sz val="8"/>
        <color rgb="FF595959"/>
        <rFont val="Arial"/>
        <family val="2"/>
        <charset val="238"/>
      </rPr>
      <t xml:space="preserve">
Taekwondo</t>
    </r>
  </si>
  <si>
    <r>
      <t xml:space="preserve">Freediving
</t>
    </r>
    <r>
      <rPr>
        <sz val="8"/>
        <color rgb="FF595959"/>
        <rFont val="Arial"/>
        <family val="2"/>
        <charset val="238"/>
      </rPr>
      <t xml:space="preserve">Freediving </t>
    </r>
  </si>
  <si>
    <r>
      <t xml:space="preserve">Bobsleje
</t>
    </r>
    <r>
      <rPr>
        <sz val="8"/>
        <color theme="1" tint="0.34998626667073579"/>
        <rFont val="Arial"/>
        <family val="2"/>
        <charset val="238"/>
      </rPr>
      <t>Bobsleigh</t>
    </r>
  </si>
  <si>
    <r>
      <t xml:space="preserve">Taekwondo olimpijskie
</t>
    </r>
    <r>
      <rPr>
        <sz val="8"/>
        <color theme="1" tint="0.34998626667073579"/>
        <rFont val="Arial"/>
        <family val="2"/>
        <charset val="238"/>
      </rPr>
      <t>Olympic taekwondo</t>
    </r>
  </si>
  <si>
    <r>
      <t xml:space="preserve">Lacrossse
</t>
    </r>
    <r>
      <rPr>
        <sz val="8"/>
        <color theme="1" tint="0.34998626667073579"/>
        <rFont val="Arial"/>
        <family val="2"/>
        <charset val="238"/>
      </rPr>
      <t>Lacrosse</t>
    </r>
  </si>
  <si>
    <r>
      <t xml:space="preserve">OGÓŁEM 
</t>
    </r>
    <r>
      <rPr>
        <b/>
        <sz val="8"/>
        <color theme="1" tint="0.34998626667073579"/>
        <rFont val="Arial"/>
        <family val="2"/>
        <charset val="238"/>
      </rPr>
      <t>Total</t>
    </r>
    <r>
      <rPr>
        <b/>
        <sz val="8"/>
        <color rgb="FF595959"/>
        <rFont val="Arial"/>
        <family val="2"/>
        <charset val="238"/>
      </rPr>
      <t xml:space="preserve"> </t>
    </r>
  </si>
  <si>
    <r>
      <rPr>
        <sz val="8"/>
        <rFont val="Arial"/>
        <family val="2"/>
        <charset val="238"/>
      </rPr>
      <t>Aeroklub Polski</t>
    </r>
    <r>
      <rPr>
        <sz val="8"/>
        <color theme="1" tint="0.34998626667073579"/>
        <rFont val="Arial"/>
        <family val="2"/>
        <charset val="238"/>
      </rPr>
      <t xml:space="preserve">
Polish Aero Club</t>
    </r>
  </si>
  <si>
    <r>
      <rPr>
        <sz val="8"/>
        <rFont val="Arial"/>
        <family val="2"/>
        <charset val="238"/>
      </rPr>
      <t xml:space="preserve">P. Z. Alpinizmu </t>
    </r>
    <r>
      <rPr>
        <sz val="8"/>
        <color theme="1" tint="0.34998626667073579"/>
        <rFont val="Arial"/>
        <family val="2"/>
        <charset val="238"/>
      </rPr>
      <t xml:space="preserve">
Polish Mountaineering Association</t>
    </r>
  </si>
  <si>
    <r>
      <rPr>
        <sz val="8"/>
        <rFont val="Arial"/>
        <family val="2"/>
        <charset val="238"/>
      </rPr>
      <t>Polska Federacja Lacrosse - Polski Związek Sportowy</t>
    </r>
    <r>
      <rPr>
        <sz val="8"/>
        <color theme="1" tint="0.34998626667073579"/>
        <rFont val="Arial"/>
        <family val="2"/>
        <charset val="238"/>
      </rPr>
      <t xml:space="preserve">
Polish Lacrosse Federation - Polish Sports Association</t>
    </r>
  </si>
  <si>
    <r>
      <rPr>
        <sz val="8"/>
        <rFont val="Arial"/>
        <family val="2"/>
        <charset val="238"/>
      </rPr>
      <t xml:space="preserve">P. Z. Badmintona </t>
    </r>
    <r>
      <rPr>
        <sz val="8"/>
        <color theme="1" tint="0.34998626667073579"/>
        <rFont val="Arial"/>
        <family val="2"/>
        <charset val="238"/>
      </rPr>
      <t xml:space="preserve">
Polish Badminton Association</t>
    </r>
  </si>
  <si>
    <r>
      <rPr>
        <sz val="8"/>
        <rFont val="Arial"/>
        <family val="2"/>
        <charset val="238"/>
      </rPr>
      <t xml:space="preserve">P. Z. Baseballu i Softballu </t>
    </r>
    <r>
      <rPr>
        <sz val="8"/>
        <color theme="1" tint="0.34998626667073579"/>
        <rFont val="Arial"/>
        <family val="2"/>
        <charset val="238"/>
      </rPr>
      <t xml:space="preserve">
Polish Baseball and Softball Federation</t>
    </r>
  </si>
  <si>
    <r>
      <rPr>
        <sz val="8"/>
        <rFont val="Arial"/>
        <family val="2"/>
        <charset val="238"/>
      </rPr>
      <t xml:space="preserve">P. Z. Biathlonu </t>
    </r>
    <r>
      <rPr>
        <sz val="8"/>
        <color theme="1" tint="0.34998626667073579"/>
        <rFont val="Arial"/>
        <family val="2"/>
        <charset val="238"/>
      </rPr>
      <t xml:space="preserve">
Polish Biathlon Association</t>
    </r>
  </si>
  <si>
    <r>
      <rPr>
        <sz val="8"/>
        <rFont val="Arial"/>
        <family val="2"/>
        <charset val="238"/>
      </rPr>
      <t>P. Z. Bilardowy</t>
    </r>
    <r>
      <rPr>
        <sz val="8"/>
        <color theme="1" tint="0.34998626667073579"/>
        <rFont val="Arial"/>
        <family val="2"/>
        <charset val="238"/>
      </rPr>
      <t xml:space="preserve"> 
Polish Billiard Association</t>
    </r>
  </si>
  <si>
    <r>
      <rPr>
        <sz val="8"/>
        <rFont val="Arial"/>
        <family val="2"/>
        <charset val="238"/>
      </rPr>
      <t>P. Z. Bobslei i Skeletonu</t>
    </r>
    <r>
      <rPr>
        <sz val="8"/>
        <color theme="1" tint="0.34998626667073579"/>
        <rFont val="Arial"/>
        <family val="2"/>
        <charset val="238"/>
      </rPr>
      <t xml:space="preserve">
Polish Bobsleigh and Skeleton Federation</t>
    </r>
  </si>
  <si>
    <r>
      <rPr>
        <sz val="8"/>
        <rFont val="Arial"/>
        <family val="2"/>
        <charset val="238"/>
      </rPr>
      <t xml:space="preserve">P.Z. Bocci </t>
    </r>
    <r>
      <rPr>
        <sz val="8"/>
        <color theme="1" tint="0.34998626667073579"/>
        <rFont val="Arial"/>
        <family val="2"/>
        <charset val="238"/>
      </rPr>
      <t xml:space="preserve">
Polish Bocci Association</t>
    </r>
  </si>
  <si>
    <r>
      <rPr>
        <sz val="8"/>
        <rFont val="Arial"/>
        <family val="2"/>
        <charset val="238"/>
      </rPr>
      <t xml:space="preserve">P. Z. Bokserski </t>
    </r>
    <r>
      <rPr>
        <sz val="8"/>
        <color theme="1" tint="0.34998626667073579"/>
        <rFont val="Arial"/>
        <family val="2"/>
        <charset val="238"/>
      </rPr>
      <t xml:space="preserve">
Polish Boxing Association</t>
    </r>
  </si>
  <si>
    <r>
      <rPr>
        <sz val="8"/>
        <rFont val="Arial"/>
        <family val="2"/>
        <charset val="238"/>
      </rPr>
      <t xml:space="preserve">P. Z. Brydża Sportowego </t>
    </r>
    <r>
      <rPr>
        <sz val="8"/>
        <color theme="1" tint="0.34998626667073579"/>
        <rFont val="Arial"/>
        <family val="2"/>
        <charset val="238"/>
      </rPr>
      <t xml:space="preserve">
Polish Brigde Union</t>
    </r>
  </si>
  <si>
    <r>
      <rPr>
        <sz val="8"/>
        <rFont val="Arial"/>
        <family val="2"/>
        <charset val="238"/>
      </rPr>
      <t xml:space="preserve">P. Z. Freedivingu </t>
    </r>
    <r>
      <rPr>
        <sz val="8"/>
        <color theme="1" tint="0.34998626667073579"/>
        <rFont val="Arial"/>
        <family val="2"/>
        <charset val="238"/>
      </rPr>
      <t xml:space="preserve">
Polish Freediving Association</t>
    </r>
  </si>
  <si>
    <r>
      <rPr>
        <sz val="8"/>
        <rFont val="Arial"/>
        <family val="2"/>
        <charset val="238"/>
      </rPr>
      <t xml:space="preserve">P. Z. Gimnastyczny </t>
    </r>
    <r>
      <rPr>
        <sz val="8"/>
        <color theme="1" tint="0.34998626667073579"/>
        <rFont val="Arial"/>
        <family val="2"/>
        <charset val="238"/>
      </rPr>
      <t xml:space="preserve">
Polish Gymnastics Association</t>
    </r>
  </si>
  <si>
    <r>
      <rPr>
        <sz val="8"/>
        <rFont val="Arial"/>
        <family val="2"/>
        <charset val="238"/>
      </rPr>
      <t xml:space="preserve">P. Z. Golfa </t>
    </r>
    <r>
      <rPr>
        <sz val="8"/>
        <color theme="1" tint="0.34998626667073579"/>
        <rFont val="Arial"/>
        <family val="2"/>
        <charset val="238"/>
      </rPr>
      <t xml:space="preserve">
Polish Golf Union</t>
    </r>
  </si>
  <si>
    <r>
      <rPr>
        <sz val="8"/>
        <rFont val="Arial"/>
        <family val="2"/>
        <charset val="238"/>
      </rPr>
      <t>P. Z. Hokeja na Lodzie</t>
    </r>
    <r>
      <rPr>
        <sz val="8"/>
        <color theme="1" tint="0.34998626667073579"/>
        <rFont val="Arial"/>
        <family val="2"/>
        <charset val="238"/>
      </rPr>
      <t xml:space="preserve">
Polish Ice Hockey Federation</t>
    </r>
  </si>
  <si>
    <r>
      <rPr>
        <sz val="8"/>
        <rFont val="Arial"/>
        <family val="2"/>
        <charset val="238"/>
      </rPr>
      <t xml:space="preserve">P. Z. Hokeja na Trawie </t>
    </r>
    <r>
      <rPr>
        <sz val="8"/>
        <color theme="1" tint="0.34998626667073579"/>
        <rFont val="Arial"/>
        <family val="2"/>
        <charset val="238"/>
      </rPr>
      <t xml:space="preserve">
Polish Hockey Association</t>
    </r>
  </si>
  <si>
    <r>
      <rPr>
        <sz val="8"/>
        <rFont val="Arial"/>
        <family val="2"/>
        <charset val="238"/>
      </rPr>
      <t xml:space="preserve">P. Z. Jeździecki </t>
    </r>
    <r>
      <rPr>
        <sz val="8"/>
        <color theme="1" tint="0.34998626667073579"/>
        <rFont val="Arial"/>
        <family val="2"/>
        <charset val="238"/>
      </rPr>
      <t xml:space="preserve">
Polish Equestrian Federation</t>
    </r>
  </si>
  <si>
    <r>
      <rPr>
        <sz val="8"/>
        <rFont val="Arial"/>
        <family val="2"/>
        <charset val="238"/>
      </rPr>
      <t xml:space="preserve">P. Z. Judo </t>
    </r>
    <r>
      <rPr>
        <sz val="8"/>
        <color theme="1" tint="0.34998626667073579"/>
        <rFont val="Arial"/>
        <family val="2"/>
        <charset val="238"/>
      </rPr>
      <t xml:space="preserve">
Polish Judo Association </t>
    </r>
  </si>
  <si>
    <r>
      <rPr>
        <sz val="8"/>
        <rFont val="Arial"/>
        <family val="2"/>
        <charset val="238"/>
      </rPr>
      <t xml:space="preserve">P Z. Kajakowy </t>
    </r>
    <r>
      <rPr>
        <sz val="8"/>
        <color theme="1" tint="0.34998626667073579"/>
        <rFont val="Arial"/>
        <family val="2"/>
        <charset val="238"/>
      </rPr>
      <t xml:space="preserve">
Polish Canoe Federation</t>
    </r>
  </si>
  <si>
    <r>
      <rPr>
        <sz val="8"/>
        <rFont val="Arial"/>
        <family val="2"/>
        <charset val="238"/>
      </rPr>
      <t xml:space="preserve">P. Z. Kick-Boxingu </t>
    </r>
    <r>
      <rPr>
        <sz val="8"/>
        <color theme="1" tint="0.34998626667073579"/>
        <rFont val="Arial"/>
        <family val="2"/>
        <charset val="238"/>
      </rPr>
      <t xml:space="preserve">
Polish Kickboxing Association</t>
    </r>
  </si>
  <si>
    <r>
      <rPr>
        <sz val="8"/>
        <rFont val="Arial"/>
        <family val="2"/>
        <charset val="238"/>
      </rPr>
      <t xml:space="preserve">P. Z. Kolarski </t>
    </r>
    <r>
      <rPr>
        <sz val="8"/>
        <color theme="1" tint="0.34998626667073579"/>
        <rFont val="Arial"/>
        <family val="2"/>
        <charset val="238"/>
      </rPr>
      <t xml:space="preserve">
Polish Cycling Federation</t>
    </r>
  </si>
  <si>
    <r>
      <rPr>
        <sz val="8"/>
        <rFont val="Arial"/>
        <family val="2"/>
        <charset val="238"/>
      </rPr>
      <t xml:space="preserve">P. Z. Korfballu </t>
    </r>
    <r>
      <rPr>
        <sz val="8"/>
        <color theme="1" tint="0.34998626667073579"/>
        <rFont val="Arial"/>
        <family val="2"/>
        <charset val="238"/>
      </rPr>
      <t xml:space="preserve">
Polish Korfball Association</t>
    </r>
  </si>
  <si>
    <r>
      <rPr>
        <sz val="8"/>
        <rFont val="Arial"/>
        <family val="2"/>
        <charset val="238"/>
      </rPr>
      <t xml:space="preserve">P. Z. Koszykówki </t>
    </r>
    <r>
      <rPr>
        <sz val="8"/>
        <color theme="1" tint="0.34998626667073579"/>
        <rFont val="Arial"/>
        <family val="2"/>
        <charset val="238"/>
      </rPr>
      <t xml:space="preserve">
Polish Basketball Association</t>
    </r>
  </si>
  <si>
    <r>
      <rPr>
        <sz val="8"/>
        <rFont val="Arial"/>
        <family val="2"/>
        <charset val="238"/>
      </rPr>
      <t xml:space="preserve">P. Z. Kręglarski </t>
    </r>
    <r>
      <rPr>
        <sz val="8"/>
        <color theme="1" tint="0.34998626667073579"/>
        <rFont val="Arial"/>
        <family val="2"/>
        <charset val="238"/>
      </rPr>
      <t xml:space="preserve">
Polish Ninepin and Tenpin Federation</t>
    </r>
  </si>
  <si>
    <r>
      <rPr>
        <sz val="8"/>
        <rFont val="Arial"/>
        <family val="2"/>
        <charset val="238"/>
      </rPr>
      <t xml:space="preserve">P. Z. Lekkiej Atletyki </t>
    </r>
    <r>
      <rPr>
        <sz val="8"/>
        <color theme="1" tint="0.34998626667073579"/>
        <rFont val="Arial"/>
        <family val="2"/>
        <charset val="238"/>
      </rPr>
      <t xml:space="preserve">
Polish Athletics Association</t>
    </r>
  </si>
  <si>
    <r>
      <rPr>
        <sz val="8"/>
        <rFont val="Arial"/>
        <family val="2"/>
        <charset val="238"/>
      </rPr>
      <t xml:space="preserve">P. Z. Łuczniczy </t>
    </r>
    <r>
      <rPr>
        <sz val="8"/>
        <color theme="1" tint="0.34998626667073579"/>
        <rFont val="Arial"/>
        <family val="2"/>
        <charset val="238"/>
      </rPr>
      <t xml:space="preserve">
Polish Archery Federation</t>
    </r>
  </si>
  <si>
    <r>
      <rPr>
        <sz val="8"/>
        <rFont val="Arial"/>
        <family val="2"/>
        <charset val="238"/>
      </rPr>
      <t xml:space="preserve">P. Z. Łyżwiarstwa Figurowego </t>
    </r>
    <r>
      <rPr>
        <sz val="8"/>
        <color theme="1" tint="0.34998626667073579"/>
        <rFont val="Arial"/>
        <family val="2"/>
        <charset val="238"/>
      </rPr>
      <t xml:space="preserve">
Polish Figure Skating Association</t>
    </r>
  </si>
  <si>
    <r>
      <rPr>
        <sz val="8"/>
        <rFont val="Arial"/>
        <family val="2"/>
        <charset val="238"/>
      </rPr>
      <t xml:space="preserve">P. Z. Łyżwiarstwa Szybkiego </t>
    </r>
    <r>
      <rPr>
        <sz val="8"/>
        <color theme="1" tint="0.34998626667073579"/>
        <rFont val="Arial"/>
        <family val="2"/>
        <charset val="238"/>
      </rPr>
      <t xml:space="preserve">
Polish Speed Skating Association</t>
    </r>
  </si>
  <si>
    <r>
      <rPr>
        <sz val="8"/>
        <rFont val="Arial"/>
        <family val="2"/>
        <charset val="238"/>
      </rPr>
      <t xml:space="preserve">P. Z. Motorowodny i Narciarstwa Wodnego </t>
    </r>
    <r>
      <rPr>
        <sz val="8"/>
        <color theme="1" tint="0.34998626667073579"/>
        <rFont val="Arial"/>
        <family val="2"/>
        <charset val="238"/>
      </rPr>
      <t xml:space="preserve">
Polish Motorboat Sports and Waterskiing Association</t>
    </r>
  </si>
  <si>
    <r>
      <rPr>
        <sz val="8"/>
        <rFont val="Arial"/>
        <family val="2"/>
        <charset val="238"/>
      </rPr>
      <t xml:space="preserve">P. Z. Motorowy </t>
    </r>
    <r>
      <rPr>
        <sz val="8"/>
        <color theme="1" tint="0.34998626667073579"/>
        <rFont val="Arial"/>
        <family val="2"/>
        <charset val="238"/>
      </rPr>
      <t xml:space="preserve">
Polish Motor Union</t>
    </r>
  </si>
  <si>
    <r>
      <rPr>
        <sz val="8"/>
        <rFont val="Arial"/>
        <family val="2"/>
        <charset val="238"/>
      </rPr>
      <t xml:space="preserve">P. Z. Muaythai </t>
    </r>
    <r>
      <rPr>
        <sz val="8"/>
        <color theme="1" tint="0.34998626667073579"/>
        <rFont val="Arial"/>
        <family val="2"/>
        <charset val="238"/>
      </rPr>
      <t xml:space="preserve">
Polish Muaythai Federation</t>
    </r>
  </si>
  <si>
    <r>
      <rPr>
        <sz val="8"/>
        <rFont val="Arial"/>
        <family val="2"/>
        <charset val="238"/>
      </rPr>
      <t xml:space="preserve">P. Z. Narciarski </t>
    </r>
    <r>
      <rPr>
        <sz val="8"/>
        <color theme="1" tint="0.34998626667073579"/>
        <rFont val="Arial"/>
        <family val="2"/>
        <charset val="238"/>
      </rPr>
      <t xml:space="preserve">
Polish Ski Federation</t>
    </r>
  </si>
  <si>
    <r>
      <rPr>
        <sz val="8"/>
        <rFont val="Arial"/>
        <family val="2"/>
        <charset val="238"/>
      </rPr>
      <t xml:space="preserve">P. Z. Orientacji Sportowej </t>
    </r>
    <r>
      <rPr>
        <sz val="8"/>
        <color theme="1" tint="0.34998626667073579"/>
        <rFont val="Arial"/>
        <family val="2"/>
        <charset val="238"/>
      </rPr>
      <t xml:space="preserve">
Polish Orienteering Association</t>
    </r>
  </si>
  <si>
    <r>
      <rPr>
        <sz val="8"/>
        <rFont val="Arial"/>
        <family val="2"/>
        <charset val="238"/>
      </rPr>
      <t xml:space="preserve">P. Z. Pięcioboju Nowoczesnego </t>
    </r>
    <r>
      <rPr>
        <sz val="8"/>
        <color theme="1" tint="0.34998626667073579"/>
        <rFont val="Arial"/>
        <family val="2"/>
        <charset val="238"/>
      </rPr>
      <t xml:space="preserve">
Polish Modern Pentathlon Association</t>
    </r>
  </si>
  <si>
    <r>
      <rPr>
        <sz val="8"/>
        <rFont val="Arial"/>
        <family val="2"/>
        <charset val="238"/>
      </rPr>
      <t>P. Z. Piłki Nożnej</t>
    </r>
    <r>
      <rPr>
        <sz val="8"/>
        <color theme="1" tint="0.34998626667073579"/>
        <rFont val="Arial"/>
        <family val="2"/>
        <charset val="238"/>
      </rPr>
      <t xml:space="preserve">
Polish Football Association</t>
    </r>
  </si>
  <si>
    <r>
      <rPr>
        <sz val="8"/>
        <rFont val="Arial"/>
        <family val="2"/>
        <charset val="238"/>
      </rPr>
      <t xml:space="preserve">Związek Piłki Ręcznej w Polsce </t>
    </r>
    <r>
      <rPr>
        <sz val="8"/>
        <color theme="1" tint="0.34998626667073579"/>
        <rFont val="Arial"/>
        <family val="2"/>
        <charset val="238"/>
      </rPr>
      <t xml:space="preserve">
Polish Handball Federation</t>
    </r>
  </si>
  <si>
    <r>
      <rPr>
        <sz val="8"/>
        <rFont val="Arial"/>
        <family val="2"/>
        <charset val="238"/>
      </rPr>
      <t xml:space="preserve">P. Z. Piłki Siatkowej </t>
    </r>
    <r>
      <rPr>
        <sz val="8"/>
        <color theme="1" tint="0.34998626667073579"/>
        <rFont val="Arial"/>
        <family val="2"/>
        <charset val="238"/>
      </rPr>
      <t xml:space="preserve">
Polish Volleyball Federation</t>
    </r>
  </si>
  <si>
    <r>
      <rPr>
        <sz val="8"/>
        <rFont val="Arial"/>
        <family val="2"/>
        <charset val="238"/>
      </rPr>
      <t xml:space="preserve">P. Z. Płetwonurkowania Sportowego </t>
    </r>
    <r>
      <rPr>
        <sz val="8"/>
        <color theme="1" tint="0.34998626667073579"/>
        <rFont val="Arial"/>
        <family val="2"/>
        <charset val="238"/>
      </rPr>
      <t xml:space="preserve">
Polish Underwater Federation</t>
    </r>
  </si>
  <si>
    <r>
      <rPr>
        <sz val="8"/>
        <rFont val="Arial"/>
        <family val="2"/>
        <charset val="238"/>
      </rPr>
      <t xml:space="preserve">P. Z. Pływacki </t>
    </r>
    <r>
      <rPr>
        <sz val="8"/>
        <color theme="1" tint="0.34998626667073579"/>
        <rFont val="Arial"/>
        <family val="2"/>
        <charset val="238"/>
      </rPr>
      <t xml:space="preserve">
Polish Swimming Federation</t>
    </r>
  </si>
  <si>
    <r>
      <rPr>
        <sz val="8"/>
        <rFont val="Arial"/>
        <family val="2"/>
        <charset val="238"/>
      </rPr>
      <t xml:space="preserve">P. Z. Podnoszenia Ciężarów  </t>
    </r>
    <r>
      <rPr>
        <sz val="8"/>
        <color theme="1" tint="0.34998626667073579"/>
        <rFont val="Arial"/>
        <family val="2"/>
        <charset val="238"/>
      </rPr>
      <t xml:space="preserve">
Polish Weightlifting Federation</t>
    </r>
  </si>
  <si>
    <r>
      <rPr>
        <sz val="8"/>
        <rFont val="Arial"/>
        <family val="2"/>
        <charset val="238"/>
      </rPr>
      <t xml:space="preserve">P.Z. Przeciągania Liny </t>
    </r>
    <r>
      <rPr>
        <sz val="8"/>
        <color theme="1" tint="0.34998626667073579"/>
        <rFont val="Arial"/>
        <family val="2"/>
        <charset val="238"/>
      </rPr>
      <t xml:space="preserve">
Polish Tug of War Association</t>
    </r>
  </si>
  <si>
    <r>
      <rPr>
        <sz val="8"/>
        <rFont val="Arial"/>
        <family val="2"/>
        <charset val="238"/>
      </rPr>
      <t xml:space="preserve">P. Z. Rugby </t>
    </r>
    <r>
      <rPr>
        <sz val="8"/>
        <color theme="1" tint="0.34998626667073579"/>
        <rFont val="Arial"/>
        <family val="2"/>
        <charset val="238"/>
      </rPr>
      <t xml:space="preserve">
Polish Rugby Union</t>
    </r>
  </si>
  <si>
    <r>
      <rPr>
        <sz val="8"/>
        <rFont val="Arial"/>
        <family val="2"/>
        <charset val="238"/>
      </rPr>
      <t xml:space="preserve">P. Z. Snookera i Bilarda Angielskiego  </t>
    </r>
    <r>
      <rPr>
        <sz val="8"/>
        <color theme="1" tint="0.34998626667073579"/>
        <rFont val="Arial"/>
        <family val="2"/>
        <charset val="238"/>
      </rPr>
      <t>Polish Billiards and Snooker Association</t>
    </r>
  </si>
  <si>
    <r>
      <rPr>
        <sz val="8"/>
        <rFont val="Arial"/>
        <family val="2"/>
        <charset val="238"/>
      </rPr>
      <t xml:space="preserve">P. Z. Sportu Tanecznego </t>
    </r>
    <r>
      <rPr>
        <sz val="8"/>
        <color theme="1" tint="0.34998626667073579"/>
        <rFont val="Arial"/>
        <family val="2"/>
        <charset val="238"/>
      </rPr>
      <t xml:space="preserve">
Polish Dance Sports Association</t>
    </r>
  </si>
  <si>
    <r>
      <rPr>
        <sz val="8"/>
        <rFont val="Arial"/>
        <family val="2"/>
        <charset val="238"/>
      </rPr>
      <t xml:space="preserve">P. Z. Sportów Saneczkowych </t>
    </r>
    <r>
      <rPr>
        <sz val="8"/>
        <color theme="1" tint="0.34998626667073579"/>
        <rFont val="Arial"/>
        <family val="2"/>
        <charset val="238"/>
      </rPr>
      <t xml:space="preserve">
Polish Association for Luge Sports</t>
    </r>
  </si>
  <si>
    <r>
      <rPr>
        <sz val="8"/>
        <rFont val="Arial"/>
        <family val="2"/>
        <charset val="238"/>
      </rPr>
      <t xml:space="preserve">P. Z. Sportów Wrotkarskich </t>
    </r>
    <r>
      <rPr>
        <sz val="8"/>
        <color theme="1" tint="0.34998626667073579"/>
        <rFont val="Arial"/>
        <family val="2"/>
        <charset val="238"/>
      </rPr>
      <t xml:space="preserve">
Polish Federation of Roller Skating</t>
    </r>
  </si>
  <si>
    <r>
      <rPr>
        <sz val="8"/>
        <rFont val="Arial"/>
        <family val="2"/>
        <charset val="238"/>
      </rPr>
      <t xml:space="preserve">P. Z. Sportu Niesłyszących  </t>
    </r>
    <r>
      <rPr>
        <sz val="8"/>
        <color theme="1" tint="0.34998626667073579"/>
        <rFont val="Arial"/>
        <family val="2"/>
        <charset val="238"/>
      </rPr>
      <t xml:space="preserve">
Polish Deaf Sports Association</t>
    </r>
  </si>
  <si>
    <r>
      <rPr>
        <sz val="8"/>
        <rFont val="Arial"/>
        <family val="2"/>
        <charset val="238"/>
      </rPr>
      <t xml:space="preserve">P. Z. Squasha       </t>
    </r>
    <r>
      <rPr>
        <sz val="8"/>
        <color theme="1" tint="0.34998626667073579"/>
        <rFont val="Arial"/>
        <family val="2"/>
        <charset val="238"/>
      </rPr>
      <t xml:space="preserve">                         Polish Squash Association</t>
    </r>
  </si>
  <si>
    <r>
      <rPr>
        <sz val="8"/>
        <rFont val="Arial"/>
        <family val="2"/>
        <charset val="238"/>
      </rPr>
      <t xml:space="preserve">P. Z. Strzelectwa Sportowego </t>
    </r>
    <r>
      <rPr>
        <sz val="8"/>
        <color theme="1" tint="0.34998626667073579"/>
        <rFont val="Arial"/>
        <family val="2"/>
        <charset val="238"/>
      </rPr>
      <t xml:space="preserve">
Polish Sport Shooting Federation</t>
    </r>
  </si>
  <si>
    <r>
      <rPr>
        <sz val="8"/>
        <rFont val="Arial"/>
        <family val="2"/>
        <charset val="238"/>
      </rPr>
      <t>P. Z. Sumo</t>
    </r>
    <r>
      <rPr>
        <sz val="8"/>
        <color theme="1" tint="0.34998626667073579"/>
        <rFont val="Arial"/>
        <family val="2"/>
        <charset val="238"/>
      </rPr>
      <t xml:space="preserve">
Polish Sumo Federation</t>
    </r>
  </si>
  <si>
    <r>
      <rPr>
        <sz val="8"/>
        <rFont val="Arial"/>
        <family val="2"/>
        <charset val="238"/>
      </rPr>
      <t xml:space="preserve">P. Z. Szachowy </t>
    </r>
    <r>
      <rPr>
        <sz val="8"/>
        <color theme="1" tint="0.34998626667073579"/>
        <rFont val="Arial"/>
        <family val="2"/>
        <charset val="238"/>
      </rPr>
      <t xml:space="preserve">
Polish Chess Federation</t>
    </r>
  </si>
  <si>
    <r>
      <rPr>
        <sz val="8"/>
        <rFont val="Arial"/>
        <family val="2"/>
        <charset val="238"/>
      </rPr>
      <t xml:space="preserve">P. Z. Szermierczy </t>
    </r>
    <r>
      <rPr>
        <sz val="8"/>
        <color theme="1" tint="0.34998626667073579"/>
        <rFont val="Arial"/>
        <family val="2"/>
        <charset val="238"/>
      </rPr>
      <t xml:space="preserve">
Polish Fencing Association</t>
    </r>
  </si>
  <si>
    <r>
      <rPr>
        <sz val="8"/>
        <rFont val="Arial"/>
        <family val="2"/>
        <charset val="238"/>
      </rPr>
      <t>P. Z. Taekwondo Olimpijskiego</t>
    </r>
    <r>
      <rPr>
        <sz val="8"/>
        <color theme="1" tint="0.34998626667073579"/>
        <rFont val="Arial"/>
        <family val="2"/>
        <charset val="238"/>
      </rPr>
      <t xml:space="preserve">
Polish Taekwondo Olympic Association </t>
    </r>
  </si>
  <si>
    <r>
      <rPr>
        <sz val="8"/>
        <rFont val="Arial"/>
        <family val="2"/>
        <charset val="238"/>
      </rPr>
      <t xml:space="preserve">P. Z. Tenisa Stołowego </t>
    </r>
    <r>
      <rPr>
        <sz val="8"/>
        <color theme="1" tint="0.34998626667073579"/>
        <rFont val="Arial"/>
        <family val="2"/>
        <charset val="238"/>
      </rPr>
      <t xml:space="preserve">
Polish Table Tennis Association</t>
    </r>
  </si>
  <si>
    <r>
      <rPr>
        <sz val="8"/>
        <rFont val="Arial"/>
        <family val="2"/>
        <charset val="238"/>
      </rPr>
      <t xml:space="preserve">P. Z. Tenisowy </t>
    </r>
    <r>
      <rPr>
        <sz val="8"/>
        <color theme="1" tint="0.34998626667073579"/>
        <rFont val="Arial"/>
        <family val="2"/>
        <charset val="238"/>
      </rPr>
      <t xml:space="preserve">
Polish Tennis Association</t>
    </r>
  </si>
  <si>
    <r>
      <rPr>
        <sz val="8"/>
        <rFont val="Arial"/>
        <family val="2"/>
        <charset val="238"/>
      </rPr>
      <t xml:space="preserve">P. Z. Towarzystw Wioślarskich </t>
    </r>
    <r>
      <rPr>
        <sz val="8"/>
        <color theme="1" tint="0.34998626667073579"/>
        <rFont val="Arial"/>
        <family val="2"/>
        <charset val="238"/>
      </rPr>
      <t xml:space="preserve">
Polish Rowing Association</t>
    </r>
  </si>
  <si>
    <r>
      <rPr>
        <sz val="8"/>
        <rFont val="Arial"/>
        <family val="2"/>
        <charset val="238"/>
      </rPr>
      <t xml:space="preserve">P. Z. Triathlonu </t>
    </r>
    <r>
      <rPr>
        <sz val="8"/>
        <color theme="1" tint="0.34998626667073579"/>
        <rFont val="Arial"/>
        <family val="2"/>
        <charset val="238"/>
      </rPr>
      <t xml:space="preserve">
Polish Triathlon Union</t>
    </r>
  </si>
  <si>
    <r>
      <rPr>
        <sz val="8"/>
        <rFont val="Arial"/>
        <family val="2"/>
        <charset val="238"/>
      </rPr>
      <t xml:space="preserve">P. Z. Unihokeja </t>
    </r>
    <r>
      <rPr>
        <sz val="8"/>
        <color theme="1" tint="0.34998626667073579"/>
        <rFont val="Arial"/>
        <family val="2"/>
        <charset val="238"/>
      </rPr>
      <t xml:space="preserve">
Polish Floorball Federation</t>
    </r>
  </si>
  <si>
    <r>
      <rPr>
        <sz val="8"/>
        <rFont val="Arial"/>
        <family val="2"/>
        <charset val="238"/>
      </rPr>
      <t xml:space="preserve">P. Z. Wu-Shu </t>
    </r>
    <r>
      <rPr>
        <sz val="8"/>
        <color theme="1" tint="0.34998626667073579"/>
        <rFont val="Arial"/>
        <family val="2"/>
        <charset val="238"/>
      </rPr>
      <t xml:space="preserve">
Polish Wushu Federation</t>
    </r>
  </si>
  <si>
    <r>
      <rPr>
        <sz val="8"/>
        <rFont val="Arial"/>
        <family val="2"/>
        <charset val="238"/>
      </rPr>
      <t xml:space="preserve">P. Z. Zapaśniczy </t>
    </r>
    <r>
      <rPr>
        <sz val="8"/>
        <color theme="1" tint="0.34998626667073579"/>
        <rFont val="Arial"/>
        <family val="2"/>
        <charset val="238"/>
      </rPr>
      <t xml:space="preserve">
Polish Wrestling Federation</t>
    </r>
  </si>
  <si>
    <r>
      <rPr>
        <sz val="8"/>
        <rFont val="Arial"/>
        <family val="2"/>
        <charset val="238"/>
      </rPr>
      <t xml:space="preserve">P. Z. Żeglarski </t>
    </r>
    <r>
      <rPr>
        <sz val="8"/>
        <color theme="1" tint="0.34998626667073579"/>
        <rFont val="Arial"/>
        <family val="2"/>
        <charset val="238"/>
      </rPr>
      <t xml:space="preserve">
Polish Yachting Association</t>
    </r>
  </si>
  <si>
    <r>
      <rPr>
        <sz val="8"/>
        <rFont val="Arial"/>
        <family val="2"/>
        <charset val="238"/>
      </rPr>
      <t xml:space="preserve">P. Z. Amp Futbol
</t>
    </r>
    <r>
      <rPr>
        <sz val="8"/>
        <color theme="1" tint="0.34998626667073579"/>
        <rFont val="Arial"/>
        <family val="2"/>
        <charset val="238"/>
      </rPr>
      <t>Polish Amp Football Association</t>
    </r>
  </si>
  <si>
    <t>–</t>
  </si>
  <si>
    <r>
      <t xml:space="preserve">Jeżdziectwo
</t>
    </r>
    <r>
      <rPr>
        <sz val="8"/>
        <color theme="1" tint="0.34998626667073579"/>
        <rFont val="Arial"/>
        <family val="2"/>
        <charset val="238"/>
      </rPr>
      <t>Equestrian</t>
    </r>
    <r>
      <rPr>
        <b/>
        <sz val="8"/>
        <color theme="1" tint="0.34998626667073579"/>
        <rFont val="Arial"/>
        <family val="2"/>
        <charset val="238"/>
      </rPr>
      <t xml:space="preserve">  </t>
    </r>
    <r>
      <rPr>
        <b/>
        <sz val="8"/>
        <color rgb="FF000000"/>
        <rFont val="Arial"/>
        <family val="2"/>
        <charset val="238"/>
      </rPr>
      <t xml:space="preserve"> </t>
    </r>
  </si>
  <si>
    <t>a A person practising sport is indicated as many times as the number of sports she/he practices. b Including traditional karate. 
c Excluding  indoor football and beach football. d Excluding beach volleyball.</t>
  </si>
  <si>
    <r>
      <t xml:space="preserve">w tym
</t>
    </r>
    <r>
      <rPr>
        <sz val="8"/>
        <color theme="1" tint="0.34998626667073579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</si>
  <si>
    <r>
      <t>Lekkoatletyka</t>
    </r>
    <r>
      <rPr>
        <b/>
        <vertAlign val="superscript"/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Athletics </t>
    </r>
  </si>
  <si>
    <t>Symbol</t>
  </si>
  <si>
    <t xml:space="preserve">Opis  </t>
  </si>
  <si>
    <t>Description</t>
  </si>
  <si>
    <t>kreska (–)</t>
  </si>
  <si>
    <t>zjawisko nie wystąpiło</t>
  </si>
  <si>
    <t>dash (–)</t>
  </si>
  <si>
    <t>magnitude zero</t>
  </si>
  <si>
    <t>w tym</t>
  </si>
  <si>
    <t>oznacza, że nie podaje się wszystkich składników sumy</t>
  </si>
  <si>
    <t>of which</t>
  </si>
  <si>
    <t>indicates that not all elements of the sum are given</t>
  </si>
  <si>
    <t>Uwaga: odsetki w tabelach mogą nie sumować się na 100% ze względu na zaokrąglenia wartości ułamkowych</t>
  </si>
  <si>
    <t>Note:  percentages in tables may not add up to 100% due to rounding of fractions</t>
  </si>
  <si>
    <r>
      <t>Unihokej
F</t>
    </r>
    <r>
      <rPr>
        <sz val="8"/>
        <color theme="1" tint="0.34998626667073579"/>
        <rFont val="Arial"/>
        <family val="2"/>
        <charset val="238"/>
      </rPr>
      <t>loorball</t>
    </r>
  </si>
  <si>
    <r>
      <t>w tym</t>
    </r>
    <r>
      <rPr>
        <sz val="8"/>
        <color rgb="FF595959"/>
        <rFont val="Arial"/>
        <family val="2"/>
        <charset val="238"/>
      </rPr>
      <t xml:space="preserve">   of which</t>
    </r>
    <r>
      <rPr>
        <sz val="8"/>
        <rFont val="Arial"/>
        <family val="2"/>
        <charset val="238"/>
      </rPr>
      <t xml:space="preserve">                           pływanie
</t>
    </r>
    <r>
      <rPr>
        <sz val="8"/>
        <color theme="1" tint="0.34998626667073579"/>
        <rFont val="Arial"/>
        <family val="2"/>
        <charset val="238"/>
      </rPr>
      <t>swimming</t>
    </r>
  </si>
  <si>
    <r>
      <t xml:space="preserve">w tym   </t>
    </r>
    <r>
      <rPr>
        <sz val="8"/>
        <color rgb="FF595959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                           bowling
</t>
    </r>
    <r>
      <rPr>
        <sz val="8"/>
        <color theme="1" tint="0.34998626667073579"/>
        <rFont val="Arial"/>
        <family val="2"/>
        <charset val="238"/>
      </rPr>
      <t>tenpin bowling</t>
    </r>
  </si>
  <si>
    <r>
      <t xml:space="preserve">Inne sporty
</t>
    </r>
    <r>
      <rPr>
        <sz val="8"/>
        <color theme="1" tint="0.34998626667073579"/>
        <rFont val="Arial"/>
        <family val="2"/>
        <charset val="238"/>
      </rPr>
      <t>Other sports</t>
    </r>
  </si>
  <si>
    <r>
      <rPr>
        <sz val="8"/>
        <color rgb="FF595959"/>
        <rFont val="Arial"/>
        <family val="2"/>
        <charset val="238"/>
      </rPr>
      <t xml:space="preserve">w tym   of which 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sport motorowodny
</t>
    </r>
    <r>
      <rPr>
        <sz val="8"/>
        <color theme="1" tint="0.34998626667073579"/>
        <rFont val="Arial"/>
        <family val="2"/>
        <charset val="238"/>
      </rPr>
      <t>motorb</t>
    </r>
    <r>
      <rPr>
        <sz val="8"/>
        <color rgb="FF595959"/>
        <rFont val="Arial"/>
        <family val="2"/>
        <charset val="238"/>
      </rPr>
      <t>oatin</t>
    </r>
    <r>
      <rPr>
        <sz val="8"/>
        <color theme="1" tint="0.34998626667073579"/>
        <rFont val="Arial"/>
        <family val="2"/>
        <charset val="238"/>
      </rPr>
      <t>g</t>
    </r>
  </si>
  <si>
    <r>
      <t xml:space="preserve">Pięciobój nowoczesny                            </t>
    </r>
    <r>
      <rPr>
        <sz val="8"/>
        <color rgb="FF595959"/>
        <rFont val="Arial"/>
        <family val="2"/>
        <charset val="238"/>
      </rPr>
      <t>Modern pentathlon</t>
    </r>
  </si>
  <si>
    <r>
      <t xml:space="preserve">Przeciagnie liny                                             </t>
    </r>
    <r>
      <rPr>
        <sz val="8"/>
        <color rgb="FF595959"/>
        <rFont val="Arial"/>
        <family val="2"/>
        <charset val="238"/>
      </rPr>
      <t>Tug of war</t>
    </r>
  </si>
  <si>
    <r>
      <t xml:space="preserve">Radioorientacja sportowa                       </t>
    </r>
    <r>
      <rPr>
        <sz val="8"/>
        <color rgb="FF595959"/>
        <rFont val="Arial"/>
        <family val="2"/>
        <charset val="238"/>
      </rPr>
      <t>Sport radioorienteering</t>
    </r>
  </si>
  <si>
    <r>
      <t xml:space="preserve">Ringo                                                      </t>
    </r>
    <r>
      <rPr>
        <sz val="8"/>
        <color rgb="FF595959"/>
        <rFont val="Arial"/>
        <family val="2"/>
        <charset val="238"/>
      </rPr>
      <t>Ringo</t>
    </r>
  </si>
  <si>
    <r>
      <t xml:space="preserve">Sport psich zaprzęgów                        </t>
    </r>
    <r>
      <rPr>
        <sz val="8"/>
        <color rgb="FF595959"/>
        <rFont val="Arial"/>
        <family val="2"/>
        <charset val="238"/>
      </rPr>
      <t>Dogsled sport</t>
    </r>
  </si>
  <si>
    <r>
      <t xml:space="preserve">Sporty elektroniczne                        </t>
    </r>
    <r>
      <rPr>
        <sz val="8"/>
        <color rgb="FF595959"/>
        <rFont val="Arial"/>
        <family val="2"/>
        <charset val="238"/>
      </rPr>
      <t>Electonic sports</t>
    </r>
  </si>
  <si>
    <r>
      <t xml:space="preserve">Wu-Shu                                                         </t>
    </r>
    <r>
      <rPr>
        <sz val="8"/>
        <color rgb="FF595959"/>
        <rFont val="Arial"/>
        <family val="2"/>
        <charset val="238"/>
      </rPr>
      <t>Wu-Shu</t>
    </r>
  </si>
  <si>
    <t>Modelarstwo sportowe
Sport model building</t>
  </si>
  <si>
    <t>Muaythai
Muaythai</t>
  </si>
  <si>
    <t>Narciarstwo
Skiing</t>
  </si>
  <si>
    <t>narciarstwo alpejskie
alpine skiing</t>
  </si>
  <si>
    <t>narciarstwo klasyczne
nordic skiing</t>
  </si>
  <si>
    <t>narciarstwo dowolne
freestyle skiing</t>
  </si>
  <si>
    <t>Orientacja sportowa
Orienteering</t>
  </si>
  <si>
    <t>Petanque
Petanque</t>
  </si>
  <si>
    <t>Pięciobój nowoczesny                            Modern pentathlon</t>
  </si>
  <si>
    <t>kropka (.)</t>
  </si>
  <si>
    <t>zupełny brak informacji albo brak informacji wiarygodnych</t>
  </si>
  <si>
    <t>data not anvailable or not reliable</t>
  </si>
  <si>
    <t>dot. (.)</t>
  </si>
  <si>
    <r>
      <t xml:space="preserve">pływanie artystyczne (synchroniczne)
</t>
    </r>
    <r>
      <rPr>
        <sz val="8"/>
        <color theme="1" tint="0.34998626667073579"/>
        <rFont val="Arial"/>
        <family val="2"/>
        <charset val="238"/>
      </rPr>
      <t>artistic swimming (synchronized)</t>
    </r>
  </si>
  <si>
    <r>
      <t xml:space="preserve">Karate
</t>
    </r>
    <r>
      <rPr>
        <sz val="8"/>
        <color theme="1" tint="0.34998626667073579"/>
        <rFont val="Arial"/>
        <family val="2"/>
        <charset val="238"/>
      </rPr>
      <t>Karate</t>
    </r>
  </si>
  <si>
    <r>
      <t xml:space="preserve">pływanie artystyczne (synchroniczne)
</t>
    </r>
    <r>
      <rPr>
        <sz val="8"/>
        <color theme="1" tint="0.34998626667073579"/>
        <rFont val="Arial"/>
        <family val="2"/>
        <charset val="238"/>
      </rPr>
      <t>artistic swimming  (synchronized)</t>
    </r>
  </si>
  <si>
    <r>
      <t xml:space="preserve">Pracownicy medyczni 
i odnowy biologicznej
</t>
    </r>
    <r>
      <rPr>
        <sz val="8"/>
        <color theme="1" tint="0.34998626667073579"/>
        <rFont val="Arial"/>
        <family val="2"/>
        <charset val="238"/>
      </rPr>
      <t xml:space="preserve">Medical and 
wellness staff </t>
    </r>
  </si>
  <si>
    <t>WYDATKI BIEŻĄCE BUDŻETU PAŃSTWA I BUDŻETÓW JEDNOSTEK SAMORZĄDU TERYTORIALNEGO W DZIALE 926 – KULTURA FIZYCZNA</t>
  </si>
  <si>
    <t xml:space="preserve">STATE BUDGET AND LOCAL GOVERNMENT UNITS EXPENDITURE IN THE DIVISION 926 – PHYSICAL EDUCATION </t>
  </si>
  <si>
    <t xml:space="preserve">WYDATKI BUDŻETU PAŃSTWA I BUDŻETÓW JEDNOSTEK SAMORZĄDU TERYTORIALNEGO W DZIALE 926 – KULTURA FIZYCZNA </t>
  </si>
  <si>
    <t xml:space="preserve">STATE BUDGET AND LOCAL GOVERNMENT UNITS CURRENT EXPENDITURE IN THE DIVISION 926 – PHYSICAL EDUCATION </t>
  </si>
  <si>
    <t>WYDATKI BUDŻETÓW JEDNOSTEK SAMORZĄDU TERYTORIALNEGO W DZIALE 926 – KULTURA FIZYCZNA WEDŁUG WOJEWÓDZTW</t>
  </si>
  <si>
    <t>EXPENDITURE FROM LOCAL GOVERNMENT UNITS IN THE 926 – PHYSICAL EDUCATION SECTION BY VOIVODSHIP</t>
  </si>
  <si>
    <t xml:space="preserve">                   STATE BUDGET AND LOCAL GOVERNMENT UNITS EXPENDITURE
                   IN THE DIVISION 926 – PHYSICAL EDUCATION </t>
  </si>
  <si>
    <t xml:space="preserve">                   STATE BUDGET AND LOCAL GOVERNMENT UNITS CURRENT EXPENDITURE
                   IN THE DIVISION 926 – PHYSICAL EDUCATION </t>
  </si>
  <si>
    <r>
      <t xml:space="preserve">Członkowie klubów
</t>
    </r>
    <r>
      <rPr>
        <sz val="8"/>
        <color theme="1" tint="0.34998626667073579"/>
        <rFont val="Arial"/>
        <family val="2"/>
        <charset val="238"/>
      </rPr>
      <t>Members                 of clubs</t>
    </r>
  </si>
  <si>
    <r>
      <t xml:space="preserve">z liczby ogółem w wieku do 18 lat 
</t>
    </r>
    <r>
      <rPr>
        <sz val="8"/>
        <color theme="1" tint="0.34998626667073579"/>
        <rFont val="Arial"/>
        <family val="2"/>
        <charset val="238"/>
      </rPr>
      <t>of total number up to age           of 18</t>
    </r>
  </si>
  <si>
    <r>
      <t xml:space="preserve">Członkowie klubów
</t>
    </r>
    <r>
      <rPr>
        <sz val="8"/>
        <color theme="1" tint="0.34998626667073579"/>
        <rFont val="Arial"/>
        <family val="2"/>
        <charset val="238"/>
      </rPr>
      <t>Members                     of clubs</t>
    </r>
  </si>
  <si>
    <r>
      <t xml:space="preserve">Członkowie klubów
</t>
    </r>
    <r>
      <rPr>
        <sz val="8"/>
        <color theme="1" tint="0.34998626667073579"/>
        <rFont val="Arial"/>
        <family val="2"/>
        <charset val="238"/>
      </rPr>
      <t>Members                   of clubs</t>
    </r>
  </si>
  <si>
    <r>
      <t xml:space="preserve">Członkowie klubów
</t>
    </r>
    <r>
      <rPr>
        <sz val="8"/>
        <color theme="1" tint="0.34998626667073579"/>
        <rFont val="Arial"/>
        <family val="2"/>
        <charset val="238"/>
      </rPr>
      <t>Members                    of clubs</t>
    </r>
  </si>
  <si>
    <r>
      <t xml:space="preserve">Członkowie klubów
</t>
    </r>
    <r>
      <rPr>
        <sz val="8"/>
        <color theme="1" tint="0.34998626667073579"/>
        <rFont val="Arial"/>
        <family val="2"/>
        <charset val="238"/>
      </rPr>
      <t>Members             of clubs</t>
    </r>
  </si>
  <si>
    <r>
      <t xml:space="preserve">Pracownicy administracyjni
</t>
    </r>
    <r>
      <rPr>
        <sz val="8"/>
        <color theme="1" tint="0.34998626667073579"/>
        <rFont val="Arial"/>
        <family val="2"/>
        <charset val="238"/>
      </rPr>
      <t>Administrative staff</t>
    </r>
    <r>
      <rPr>
        <sz val="8"/>
        <color theme="1"/>
        <rFont val="Arial"/>
        <family val="2"/>
        <charset val="238"/>
      </rPr>
      <t xml:space="preserve">
</t>
    </r>
  </si>
  <si>
    <r>
      <t xml:space="preserve">Pracownicy medyczni i odnowy biologicznej
</t>
    </r>
    <r>
      <rPr>
        <sz val="8"/>
        <color theme="1" tint="0.34998626667073579"/>
        <rFont val="Arial"/>
        <family val="2"/>
        <charset val="238"/>
      </rPr>
      <t xml:space="preserve">Medical and 
wellness staff </t>
    </r>
  </si>
  <si>
    <r>
      <t xml:space="preserve">Członkowie klubów 
</t>
    </r>
    <r>
      <rPr>
        <sz val="8"/>
        <color theme="1" tint="0.34998626667073579"/>
        <rFont val="Arial"/>
        <family val="2"/>
        <charset val="238"/>
      </rPr>
      <t>Members                   of clubs</t>
    </r>
  </si>
  <si>
    <r>
      <rPr>
        <sz val="8"/>
        <rFont val="Arial"/>
        <family val="2"/>
        <charset val="238"/>
      </rPr>
      <t>Związek Futbolu Amerykańskiego                w Polsce</t>
    </r>
    <r>
      <rPr>
        <sz val="8"/>
        <color theme="1" tint="0.34998626667073579"/>
        <rFont val="Arial"/>
        <family val="2"/>
        <charset val="238"/>
      </rPr>
      <t xml:space="preserve">
American Football Association in Poland</t>
    </r>
  </si>
  <si>
    <r>
      <t xml:space="preserve">Wydatki budżetu państwa 
w tys. zł
</t>
    </r>
    <r>
      <rPr>
        <sz val="8"/>
        <color theme="1" tint="0.34998626667073579"/>
        <rFont val="Arial"/>
        <family val="2"/>
        <charset val="238"/>
      </rPr>
      <t>State budget expenditure                          in thousand PLN</t>
    </r>
  </si>
  <si>
    <r>
      <t xml:space="preserve">Wydatki budżetu państwa 
w tys. zł
</t>
    </r>
    <r>
      <rPr>
        <sz val="8"/>
        <color theme="1" tint="0.34998626667073579"/>
        <rFont val="Arial"/>
        <family val="2"/>
        <charset val="238"/>
      </rPr>
      <t>State budget expenditure                     in thousand PLN</t>
    </r>
  </si>
  <si>
    <r>
      <t xml:space="preserve">instytucje kultury fizycznej
</t>
    </r>
    <r>
      <rPr>
        <sz val="8"/>
        <color theme="1" tint="0.34998626667073579"/>
        <rFont val="Arial"/>
        <family val="2"/>
        <charset val="238"/>
      </rPr>
      <t>institutions                  of physical education</t>
    </r>
  </si>
  <si>
    <r>
      <t xml:space="preserve">młodzież             do lat 18
</t>
    </r>
    <r>
      <rPr>
        <sz val="8"/>
        <color theme="1" tint="0.34998626667073579"/>
        <rFont val="Arial"/>
        <family val="2"/>
        <charset val="238"/>
      </rPr>
      <t>youth up to age of 18</t>
    </r>
  </si>
  <si>
    <r>
      <t xml:space="preserve">młodzież          do lat 18
</t>
    </r>
    <r>
      <rPr>
        <sz val="8"/>
        <color theme="1" tint="0.34998626667073579"/>
        <rFont val="Arial"/>
        <family val="2"/>
        <charset val="238"/>
      </rPr>
      <t>youth up to age of 18</t>
    </r>
  </si>
  <si>
    <r>
      <t xml:space="preserve">Taekwondo olimpijskie
</t>
    </r>
    <r>
      <rPr>
        <sz val="8"/>
        <color rgb="FF595959"/>
        <rFont val="Arial"/>
        <family val="2"/>
        <charset val="238"/>
      </rPr>
      <t xml:space="preserve">Olympic taekwondo </t>
    </r>
  </si>
  <si>
    <r>
      <t xml:space="preserve">Taekwondo olimpijskie
</t>
    </r>
    <r>
      <rPr>
        <sz val="8"/>
        <color rgb="FF595959"/>
        <rFont val="Arial"/>
        <family val="2"/>
        <charset val="238"/>
      </rPr>
      <t xml:space="preserve">Olympic taekwondo  </t>
    </r>
  </si>
  <si>
    <t>a Osoba ćwicząca wykazywana jest tyle razy, w ilu rodzajach sportów występuje. b Łącznie z hokejem na łyżworolkach. c Łącznie z karate tradycyjnym. d Łącznie z short track. e Bez piłki nożnej halowej i piłki nożnej plażowej. f Bez piłki siatkowej plażowej. g Dotyczy fitness, kulturystyki i trójboju siłowego. h Dotyczy żeglarstwa regatowego.</t>
  </si>
  <si>
    <r>
      <t xml:space="preserve">POLSKA                </t>
    </r>
    <r>
      <rPr>
        <sz val="8"/>
        <rFont val="Arial"/>
        <family val="2"/>
        <charset val="238"/>
      </rPr>
      <t xml:space="preserve">     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b/>
        <sz val="8"/>
        <rFont val="Arial"/>
        <family val="2"/>
        <charset val="238"/>
      </rPr>
      <t xml:space="preserve">         </t>
    </r>
  </si>
  <si>
    <t>TABL. 3.   SEKCJE, CZŁONKOWIE I ĆWICZĄCY W KLUBACH SPORTOWYCH WEDŁUG WOJEWÓDZTW W 2024 R.</t>
  </si>
  <si>
    <t xml:space="preserve">                 SECTIONS, MEMBERS AND PERSONS PRACTISING SPORTS IN SPORTS CLUBS BY VOIVODSHIP IN 2024</t>
  </si>
  <si>
    <r>
      <t xml:space="preserve">POLSKA                   </t>
    </r>
    <r>
      <rPr>
        <sz val="8"/>
        <rFont val="Arial"/>
        <family val="2"/>
        <charset val="238"/>
      </rPr>
      <t xml:space="preserve"> 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b/>
        <sz val="8"/>
        <rFont val="Arial"/>
        <family val="2"/>
        <charset val="238"/>
      </rPr>
      <t xml:space="preserve">         </t>
    </r>
  </si>
  <si>
    <r>
      <t>POLSKA</t>
    </r>
    <r>
      <rPr>
        <sz val="8"/>
        <rFont val="Arial"/>
        <family val="2"/>
        <charset val="238"/>
      </rPr>
      <t xml:space="preserve">                   2022
</t>
    </r>
    <r>
      <rPr>
        <sz val="8"/>
        <color theme="1" tint="0.34998626667073579"/>
        <rFont val="Arial"/>
        <family val="2"/>
        <charset val="238"/>
      </rPr>
      <t>POLAND</t>
    </r>
    <r>
      <rPr>
        <sz val="8"/>
        <rFont val="Arial"/>
        <family val="2"/>
        <charset val="238"/>
      </rPr>
      <t xml:space="preserve">                       </t>
    </r>
    <r>
      <rPr>
        <b/>
        <sz val="8"/>
        <rFont val="Arial"/>
        <family val="2"/>
        <charset val="238"/>
      </rPr>
      <t xml:space="preserve">      </t>
    </r>
  </si>
  <si>
    <r>
      <t xml:space="preserve">POLSKA                  </t>
    </r>
    <r>
      <rPr>
        <sz val="8"/>
        <rFont val="Arial"/>
        <family val="2"/>
        <charset val="238"/>
      </rPr>
      <t>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b/>
        <sz val="8"/>
        <rFont val="Arial"/>
        <family val="2"/>
        <charset val="238"/>
      </rPr>
      <t xml:space="preserve">         </t>
    </r>
  </si>
  <si>
    <t xml:space="preserve">                 SECTIONS, MEMBERS AND PERSONS PRACTISING SPORTS IN SPORTS CLUBS BY
                 VOIVODSHIP IN 2024</t>
  </si>
  <si>
    <r>
      <t xml:space="preserve">POLSKA                           </t>
    </r>
    <r>
      <rPr>
        <sz val="8"/>
        <rFont val="Arial"/>
        <family val="2"/>
        <charset val="238"/>
      </rPr>
      <t>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b/>
        <sz val="8"/>
        <rFont val="Arial"/>
        <family val="2"/>
        <charset val="238"/>
      </rPr>
      <t xml:space="preserve">         </t>
    </r>
  </si>
  <si>
    <r>
      <t xml:space="preserve">POLSKA                          </t>
    </r>
    <r>
      <rPr>
        <sz val="8"/>
        <rFont val="Arial"/>
        <family val="2"/>
        <charset val="238"/>
      </rPr>
      <t xml:space="preserve"> 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b/>
        <sz val="8"/>
        <rFont val="Arial"/>
        <family val="2"/>
        <charset val="238"/>
      </rPr>
      <t xml:space="preserve">         </t>
    </r>
  </si>
  <si>
    <t>TABL. 6.   SEKCJE, CZŁONKOWIE I ĆWICZĄCY W KLUBACH SPORTOWYCH SZKOLNEGO ZWIĄZKU 
                 SPORTOWEGO WEDŁUG WOJEWÓDZTW W 2024 R.</t>
  </si>
  <si>
    <r>
      <t xml:space="preserve">                  S</t>
    </r>
    <r>
      <rPr>
        <sz val="10"/>
        <color theme="1" tint="0.34998626667073579"/>
        <rFont val="Arial"/>
        <family val="2"/>
        <charset val="238"/>
      </rPr>
      <t>ECTIONS, MEMBERS AND PERSONS PRACTISING SPORTS IN SPORTS CLUBS OF SCHOOL SPORTS 
                  ASSOCIATION BY VOIVODSHIP IN 2024</t>
    </r>
  </si>
  <si>
    <r>
      <t xml:space="preserve">POLSKA                      </t>
    </r>
    <r>
      <rPr>
        <sz val="8"/>
        <rFont val="Arial"/>
        <family val="2"/>
        <charset val="238"/>
      </rPr>
      <t xml:space="preserve">     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b/>
        <sz val="8"/>
        <rFont val="Arial"/>
        <family val="2"/>
        <charset val="238"/>
      </rPr>
      <t xml:space="preserve">         </t>
    </r>
  </si>
  <si>
    <t>TABL. 7.   SEKCJE, CZŁONKOWIE I ĆWICZĄCY W UCZNIOWSKICH KLUBACH SPORTOWYCH
                 WEDŁUG WOJEWÓDZTW W 2024 R.</t>
  </si>
  <si>
    <t xml:space="preserve">                 SECTIONS, MEMBERS AND PERSONS PRACTISING SPORTS IN STUDENT SPORTS
                 CLUBS BY VOIVODSHIP IN 2024</t>
  </si>
  <si>
    <r>
      <t xml:space="preserve">POLSKA                      </t>
    </r>
    <r>
      <rPr>
        <sz val="8"/>
        <rFont val="Arial"/>
        <family val="2"/>
        <charset val="238"/>
      </rPr>
      <t>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b/>
        <sz val="8"/>
        <rFont val="Arial"/>
        <family val="2"/>
        <charset val="238"/>
      </rPr>
      <t xml:space="preserve">         </t>
    </r>
  </si>
  <si>
    <r>
      <t xml:space="preserve">POLSKA                  </t>
    </r>
    <r>
      <rPr>
        <sz val="8"/>
        <rFont val="Arial"/>
        <family val="2"/>
        <charset val="238"/>
      </rPr>
      <t xml:space="preserve">    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b/>
        <sz val="8"/>
        <rFont val="Arial"/>
        <family val="2"/>
        <charset val="238"/>
      </rPr>
      <t xml:space="preserve">         </t>
    </r>
  </si>
  <si>
    <t>TABL. 8.   SEKCJE, CZŁONKOWIE I ĆWICZĄCY W WYZNANIOWYCH KLUBACH SPORTOWYCH WEDŁUG 
                 WOJEWÓDZTW W 2024 R.</t>
  </si>
  <si>
    <r>
      <t xml:space="preserve">                </t>
    </r>
    <r>
      <rPr>
        <sz val="10"/>
        <color theme="1" tint="0.34998626667073579"/>
        <rFont val="Arial"/>
        <family val="2"/>
        <charset val="238"/>
      </rPr>
      <t xml:space="preserve"> SECTIONS, MEMBERS AND PERSONS PRACTISING SPORTS IN RELIGIOUS SPORTS CLUBS BY 
                 VOIVODSHIP IN 2024</t>
    </r>
  </si>
  <si>
    <r>
      <t xml:space="preserve">POLSKA                 </t>
    </r>
    <r>
      <rPr>
        <sz val="8"/>
        <rFont val="Arial"/>
        <family val="2"/>
        <charset val="238"/>
      </rPr>
      <t xml:space="preserve">     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</t>
    </r>
    <r>
      <rPr>
        <b/>
        <sz val="8"/>
        <rFont val="Arial"/>
        <family val="2"/>
        <charset val="238"/>
      </rPr>
      <t xml:space="preserve">         </t>
    </r>
  </si>
  <si>
    <t>TABL. 10.   WYBRANE RODZAJE SPORTÓW WEDŁUG WOJEWÓDZTW W 2024 R.</t>
  </si>
  <si>
    <r>
      <t xml:space="preserve">                  </t>
    </r>
    <r>
      <rPr>
        <sz val="10"/>
        <color theme="1" tint="0.34998626667073579"/>
        <rFont val="Arial"/>
        <family val="2"/>
        <charset val="238"/>
      </rPr>
      <t>SELECTED KINDS OF SPORTS BY VOIVODSHIP IN 2024</t>
    </r>
  </si>
  <si>
    <r>
      <t>POLSKA</t>
    </r>
    <r>
      <rPr>
        <sz val="8"/>
        <rFont val="Arial"/>
        <family val="2"/>
        <charset val="238"/>
      </rPr>
      <t xml:space="preserve">                                  2022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</t>
    </r>
  </si>
  <si>
    <r>
      <t>POLSKA</t>
    </r>
    <r>
      <rPr>
        <sz val="8"/>
        <rFont val="Arial"/>
        <family val="2"/>
        <charset val="238"/>
      </rPr>
      <t xml:space="preserve">                                  2022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</t>
    </r>
  </si>
  <si>
    <t>TABL. 11.   SEKCJE I ĆWICZĄCY W KLUBACH SPORTOWYCH AKADEMICKIEGO
                   ZWIĄZKU SPORTOWEGO WEDŁUG WYBRANYCH RODZAJÓW SPORTÓW W 2024 R.</t>
  </si>
  <si>
    <t xml:space="preserve">                   SECTIONS AND PERSONS PRACTISING SPORTS IN SPORTS CLUBS OF
                   UNIVERSITY SPORTS ASSOCIATION BY SELECTED KINDS OF SPORTS IN 2024</t>
  </si>
  <si>
    <r>
      <t>POLSKA</t>
    </r>
    <r>
      <rPr>
        <sz val="8"/>
        <rFont val="Arial"/>
        <family val="2"/>
        <charset val="238"/>
      </rPr>
      <t xml:space="preserve">                                2022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</t>
    </r>
  </si>
  <si>
    <r>
      <t>POLSKA</t>
    </r>
    <r>
      <rPr>
        <sz val="8"/>
        <rFont val="Arial"/>
        <family val="2"/>
        <charset val="238"/>
      </rPr>
      <t xml:space="preserve">                       2022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</t>
    </r>
  </si>
  <si>
    <t>TABL. 13.   SEKCJE I ĆWICZĄCY W KLUBACH SPORTOWYCH SZKOLNEGO ZWIĄZKU
                  SPORTOWEGO WEDŁUG WYBRANYCH RODZAJÓW SPORTÓW W 2024 R.</t>
  </si>
  <si>
    <t xml:space="preserve">                  SECTIONS AND PERSONS PRACTISING SPORTS IN SPORTS CLUBS OF SCHOOL 
                  SPORTS ASSOCIATION BY SELECTED KINDS OF SPORTS IN 2024</t>
  </si>
  <si>
    <r>
      <t>POLSKA</t>
    </r>
    <r>
      <rPr>
        <sz val="8"/>
        <rFont val="Arial"/>
        <family val="2"/>
        <charset val="238"/>
      </rPr>
      <t xml:space="preserve">                                 2022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</t>
    </r>
  </si>
  <si>
    <t>TABL. 15.   SEKCJE I ĆWICZĄCY W WYZNANIOWYCH KLUBACH SPORTOWYCH WEDŁUG
                  WYBRANYCH RODZAJÓW SPORTÓW W 2024 R.</t>
  </si>
  <si>
    <t xml:space="preserve">                  SECTIONS AND PERSONS PRACTISING SPORTS IN RELIGIOUS SPORTS CLUBS
                  BY SELECTED KINDS OF SPORTS IN 2024</t>
  </si>
  <si>
    <r>
      <t>POLSKA</t>
    </r>
    <r>
      <rPr>
        <sz val="8"/>
        <rFont val="Arial"/>
        <family val="2"/>
        <charset val="238"/>
      </rPr>
      <t xml:space="preserve">                              2022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</t>
    </r>
  </si>
  <si>
    <t xml:space="preserve">TABL. 16.   KADRA SZKOLENIOWA I ADMINISTRACYJNA W KLUBACH SPORTOWYCH WEDŁUG WYBRANYCH PIONÓW
                  SPORTOWYCH W 2024 R. </t>
  </si>
  <si>
    <t xml:space="preserve">                  COACHING AND ADMINISTRATIVE STAFF IN SPORTS CLUBS BY SELECTED SPORTS DEPARTMENTS IN 2024</t>
  </si>
  <si>
    <t xml:space="preserve">TABL. 17.   KADRA SZKOLENIOWA I ADMINISTRACYJNA W KLUBACH SPORTOWYCH WEDŁUG MAKROREGIONÓW W 2024 R. </t>
  </si>
  <si>
    <t xml:space="preserve">                  COACHING AND ADMINISTRATIVE STAFF IN SPORTS CLUBS BY REGION IN 2024</t>
  </si>
  <si>
    <r>
      <t>POLSKA</t>
    </r>
    <r>
      <rPr>
        <sz val="8"/>
        <rFont val="Arial"/>
        <family val="2"/>
        <charset val="238"/>
      </rPr>
      <t xml:space="preserve">                  2022
</t>
    </r>
    <r>
      <rPr>
        <sz val="8"/>
        <color theme="1" tint="0.34998626667073579"/>
        <rFont val="Arial"/>
        <family val="2"/>
        <charset val="238"/>
      </rPr>
      <t xml:space="preserve">POLAND    </t>
    </r>
    <r>
      <rPr>
        <sz val="8"/>
        <rFont val="Arial"/>
        <family val="2"/>
        <charset val="238"/>
      </rPr>
      <t xml:space="preserve">                    </t>
    </r>
    <r>
      <rPr>
        <b/>
        <sz val="8"/>
        <rFont val="Arial"/>
        <family val="2"/>
        <charset val="238"/>
      </rPr>
      <t xml:space="preserve">      </t>
    </r>
  </si>
  <si>
    <t>TABL. 18.   KADRA SZKOLENIOWA W KLUBACH SPORTOWYCH WEDŁUG WOJEWÓDZTW W 2024 R.</t>
  </si>
  <si>
    <t xml:space="preserve">                  COACHING STAFF IN SPORTS CLUBS BY VOIVODSHIP IN 2024</t>
  </si>
  <si>
    <t>TABL. 14.   SEKCJE I ĆWICZĄCY W UCZNIOWSKICH KLUBACH SPORTOWYCH WEDŁUG 
                  WYBRANYCH RODZAJÓW SPORTÓW W 2024 R.</t>
  </si>
  <si>
    <t xml:space="preserve">                  SECTIONS, MEMBERS AND PERSONS PRACTISING SPORTS IN STUDENT SPORTS 
                  CLUBS BY VOIVODSHIP IN 2024</t>
  </si>
  <si>
    <r>
      <t>TABL. 19.   KADRA SZKOLENIOWA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SEKCJACH SPORTOWYCH WEDŁUG
                  RODZAJÓW SPORTÓW W 2024 R.</t>
    </r>
  </si>
  <si>
    <r>
      <t>POLSKA</t>
    </r>
    <r>
      <rPr>
        <sz val="8"/>
        <rFont val="Arial"/>
        <family val="2"/>
        <charset val="238"/>
      </rPr>
      <t xml:space="preserve">                                                                  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2022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POLAND    </t>
    </r>
    <r>
      <rPr>
        <sz val="8"/>
        <rFont val="Arial"/>
        <family val="2"/>
        <charset val="238"/>
      </rPr>
      <t xml:space="preserve">                    </t>
    </r>
    <r>
      <rPr>
        <b/>
        <sz val="8"/>
        <rFont val="Arial"/>
        <family val="2"/>
        <charset val="238"/>
      </rPr>
      <t xml:space="preserve">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</si>
  <si>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color rgb="FF000000"/>
        <rFont val="Arial"/>
        <family val="2"/>
        <charset val="238"/>
      </rPr>
      <t xml:space="preserve">
a – 2023
b – 2024</t>
    </r>
  </si>
  <si>
    <r>
      <t xml:space="preserve">taekwondo 
</t>
    </r>
    <r>
      <rPr>
        <sz val="8"/>
        <color theme="1" tint="0.34998626667073579"/>
        <rFont val="Arial"/>
        <family val="2"/>
        <charset val="238"/>
      </rPr>
      <t xml:space="preserve">taekwondo </t>
    </r>
  </si>
  <si>
    <r>
      <t xml:space="preserve">Teakwondo
</t>
    </r>
    <r>
      <rPr>
        <sz val="8"/>
        <color theme="1" tint="0.34998626667073579"/>
        <rFont val="Arial"/>
        <family val="2"/>
        <charset val="238"/>
      </rPr>
      <t>Teakwondo</t>
    </r>
  </si>
  <si>
    <r>
      <t>taekwondo olimpijskie
o</t>
    </r>
    <r>
      <rPr>
        <sz val="8"/>
        <color rgb="FF595959"/>
        <rFont val="Arial"/>
        <family val="2"/>
        <charset val="238"/>
      </rPr>
      <t>lympic taekwondo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</si>
  <si>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 xml:space="preserve">Padel
</t>
    </r>
    <r>
      <rPr>
        <sz val="8"/>
        <color theme="1" tint="0.34998626667073579"/>
        <rFont val="Arial"/>
        <family val="2"/>
        <charset val="238"/>
      </rPr>
      <t>Padel</t>
    </r>
  </si>
  <si>
    <r>
      <t>taekwondo 
t</t>
    </r>
    <r>
      <rPr>
        <sz val="8"/>
        <color theme="1" tint="0.34998626667073579"/>
        <rFont val="Arial"/>
        <family val="2"/>
        <charset val="238"/>
      </rPr>
      <t xml:space="preserve">aekwondo </t>
    </r>
  </si>
  <si>
    <r>
      <t>taekwondo olimpijskie
o</t>
    </r>
    <r>
      <rPr>
        <sz val="8"/>
        <color theme="1" tint="0.34998626667073579"/>
        <rFont val="Arial"/>
        <family val="2"/>
        <charset val="238"/>
      </rPr>
      <t>lympic taekwondo</t>
    </r>
  </si>
  <si>
    <r>
      <t xml:space="preserve">Padel
</t>
    </r>
    <r>
      <rPr>
        <sz val="8"/>
        <color theme="2" tint="-0.499984740745262"/>
        <rFont val="Arial"/>
        <family val="2"/>
        <charset val="238"/>
      </rPr>
      <t>Padel</t>
    </r>
  </si>
  <si>
    <r>
      <t xml:space="preserve">Teakwondo
</t>
    </r>
    <r>
      <rPr>
        <sz val="8"/>
        <color theme="2" tint="-0.499984740745262"/>
        <rFont val="Arial"/>
        <family val="2"/>
        <charset val="238"/>
      </rPr>
      <t>Teakwondo</t>
    </r>
  </si>
  <si>
    <r>
      <t>taekwondo olimpijskie
t</t>
    </r>
    <r>
      <rPr>
        <sz val="8"/>
        <color rgb="FF595959"/>
        <rFont val="Arial"/>
        <family val="2"/>
        <charset val="238"/>
      </rPr>
      <t xml:space="preserve">lympic taekwondo </t>
    </r>
  </si>
  <si>
    <r>
      <t xml:space="preserve">Karate
</t>
    </r>
    <r>
      <rPr>
        <sz val="8"/>
        <color theme="2" tint="-0.499984740745262"/>
        <rFont val="Arial"/>
        <family val="2"/>
        <charset val="238"/>
      </rPr>
      <t>Karate</t>
    </r>
  </si>
  <si>
    <r>
      <t xml:space="preserve">Brydż sportowy
</t>
    </r>
    <r>
      <rPr>
        <sz val="8"/>
        <color theme="2" tint="-0.499984740745262"/>
        <rFont val="Arial"/>
        <family val="2"/>
        <charset val="238"/>
      </rPr>
      <t>Bridge</t>
    </r>
  </si>
  <si>
    <r>
      <t xml:space="preserve">Cheerleading
</t>
    </r>
    <r>
      <rPr>
        <sz val="8"/>
        <color theme="2" tint="-0.499984740745262"/>
        <rFont val="Arial"/>
        <family val="2"/>
        <charset val="238"/>
      </rPr>
      <t>Cheerleading</t>
    </r>
  </si>
  <si>
    <r>
      <t xml:space="preserve">Łucznictwo
</t>
    </r>
    <r>
      <rPr>
        <sz val="8"/>
        <color theme="2" tint="-0.499984740745262"/>
        <rFont val="Arial"/>
        <family val="2"/>
        <charset val="238"/>
      </rPr>
      <t>Archery</t>
    </r>
  </si>
  <si>
    <r>
      <t xml:space="preserve">Snooker i bilard angielski
</t>
    </r>
    <r>
      <rPr>
        <sz val="8"/>
        <color theme="2" tint="-0.499984740745262"/>
        <rFont val="Arial"/>
        <family val="2"/>
        <charset val="238"/>
      </rPr>
      <t>Snooker and English billiards</t>
    </r>
  </si>
  <si>
    <r>
      <t xml:space="preserve">Wrotkarstwo
</t>
    </r>
    <r>
      <rPr>
        <sz val="8"/>
        <color theme="2" tint="-0.499984740745262"/>
        <rFont val="Arial"/>
        <family val="2"/>
        <charset val="238"/>
      </rPr>
      <t>Roller skating</t>
    </r>
  </si>
  <si>
    <r>
      <t xml:space="preserve">Taniec sportowy
</t>
    </r>
    <r>
      <rPr>
        <sz val="8"/>
        <color theme="2" tint="-0.499984740745262"/>
        <rFont val="Arial"/>
        <family val="2"/>
        <charset val="238"/>
      </rPr>
      <t>Sport dancing</t>
    </r>
  </si>
  <si>
    <r>
      <t xml:space="preserve">Sumo
</t>
    </r>
    <r>
      <rPr>
        <sz val="8"/>
        <color theme="2" tint="-0.499984740745262"/>
        <rFont val="Arial"/>
        <family val="2"/>
        <charset val="238"/>
      </rPr>
      <t>Sumo</t>
    </r>
  </si>
  <si>
    <r>
      <t xml:space="preserve">Wu-Shu
</t>
    </r>
    <r>
      <rPr>
        <sz val="8"/>
        <color theme="2" tint="-0.499984740745262"/>
        <rFont val="Arial"/>
        <family val="2"/>
        <charset val="238"/>
      </rPr>
      <t>Wu-Shu</t>
    </r>
  </si>
  <si>
    <r>
      <t xml:space="preserve">Gimnastyka
</t>
    </r>
    <r>
      <rPr>
        <sz val="8"/>
        <color theme="2" tint="-0.499984740745262"/>
        <rFont val="Arial"/>
        <family val="2"/>
        <charset val="238"/>
      </rPr>
      <t>Gymnastics</t>
    </r>
  </si>
  <si>
    <r>
      <t xml:space="preserve">Koszykówka
</t>
    </r>
    <r>
      <rPr>
        <sz val="8"/>
        <color theme="2" tint="-0.499984740745262"/>
        <rFont val="Arial"/>
        <family val="2"/>
        <charset val="238"/>
      </rPr>
      <t>Basketball</t>
    </r>
  </si>
  <si>
    <r>
      <t xml:space="preserve">Łyżwiarstwo szybkie
</t>
    </r>
    <r>
      <rPr>
        <sz val="8"/>
        <color theme="2" tint="-0.499984740745262"/>
        <rFont val="Arial"/>
        <family val="2"/>
        <charset val="238"/>
      </rPr>
      <t xml:space="preserve">Speed skating </t>
    </r>
  </si>
  <si>
    <t>_</t>
  </si>
  <si>
    <r>
      <t xml:space="preserve">Kręglarstwo
</t>
    </r>
    <r>
      <rPr>
        <sz val="8"/>
        <color theme="2" tint="-0.499984740745262"/>
        <rFont val="Arial"/>
        <family val="2"/>
        <charset val="238"/>
      </rPr>
      <t>Bowling</t>
    </r>
  </si>
  <si>
    <r>
      <t xml:space="preserve">Muaythai
</t>
    </r>
    <r>
      <rPr>
        <sz val="8"/>
        <color theme="2" tint="-0.499984740745262"/>
        <rFont val="Arial"/>
        <family val="2"/>
        <charset val="238"/>
      </rPr>
      <t>Muaythai</t>
    </r>
  </si>
  <si>
    <r>
      <t xml:space="preserve">Płetwonurkowanie sportowe
</t>
    </r>
    <r>
      <rPr>
        <sz val="8"/>
        <color theme="2" tint="-0.499984740745262"/>
        <rFont val="Arial"/>
        <family val="2"/>
        <charset val="238"/>
      </rPr>
      <t>Sport scuba diving</t>
    </r>
  </si>
  <si>
    <r>
      <t xml:space="preserve">Szermierka
</t>
    </r>
    <r>
      <rPr>
        <sz val="8"/>
        <color theme="2" tint="-0.499984740745262"/>
        <rFont val="Arial"/>
        <family val="2"/>
        <charset val="238"/>
      </rPr>
      <t>Fencing</t>
    </r>
  </si>
  <si>
    <r>
      <t xml:space="preserve">Triathlon
</t>
    </r>
    <r>
      <rPr>
        <sz val="8"/>
        <color theme="2" tint="-0.499984740745262"/>
        <rFont val="Arial"/>
        <family val="2"/>
        <charset val="238"/>
      </rPr>
      <t>Triathlon</t>
    </r>
  </si>
  <si>
    <r>
      <t xml:space="preserve">Squash
</t>
    </r>
    <r>
      <rPr>
        <sz val="8"/>
        <color theme="2" tint="-0.499984740745262"/>
        <rFont val="Arial"/>
        <family val="2"/>
        <charset val="238"/>
      </rPr>
      <t>Squash</t>
    </r>
  </si>
  <si>
    <r>
      <t xml:space="preserve">Sportowe ratownictwo wodne
</t>
    </r>
    <r>
      <rPr>
        <sz val="8"/>
        <color theme="2" tint="-0.499984740745262"/>
        <rFont val="Arial"/>
        <family val="2"/>
        <charset val="238"/>
      </rPr>
      <t>Life Saving</t>
    </r>
  </si>
  <si>
    <r>
      <rPr>
        <sz val="8"/>
        <rFont val="Arial"/>
        <family val="2"/>
        <charset val="238"/>
      </rPr>
      <t>Alpinizm</t>
    </r>
    <r>
      <rPr>
        <b/>
        <sz val="8"/>
        <rFont val="Arial"/>
        <family val="2"/>
        <charset val="238"/>
      </rPr>
      <t xml:space="preserve">
</t>
    </r>
    <r>
      <rPr>
        <b/>
        <sz val="8"/>
        <color theme="2" tint="-0.499984740745262"/>
        <rFont val="Arial"/>
        <family val="2"/>
        <charset val="238"/>
      </rPr>
      <t>Mountaineering</t>
    </r>
  </si>
  <si>
    <r>
      <rPr>
        <sz val="8"/>
        <rFont val="Arial"/>
        <family val="2"/>
        <charset val="238"/>
      </rPr>
      <t>Biathlon</t>
    </r>
    <r>
      <rPr>
        <b/>
        <sz val="8"/>
        <rFont val="Arial"/>
        <family val="2"/>
        <charset val="238"/>
      </rPr>
      <t xml:space="preserve">
</t>
    </r>
    <r>
      <rPr>
        <b/>
        <sz val="8"/>
        <color theme="2" tint="-0.499984740745262"/>
        <rFont val="Arial"/>
        <family val="2"/>
        <charset val="238"/>
      </rPr>
      <t>Biathlon</t>
    </r>
  </si>
  <si>
    <r>
      <rPr>
        <sz val="8"/>
        <rFont val="Arial"/>
        <family val="2"/>
        <charset val="238"/>
      </rPr>
      <t>Alpinizm</t>
    </r>
    <r>
      <rPr>
        <b/>
        <sz val="8"/>
        <rFont val="Arial"/>
        <family val="2"/>
        <charset val="238"/>
      </rPr>
      <t xml:space="preserve">
</t>
    </r>
    <r>
      <rPr>
        <sz val="8"/>
        <color theme="2" tint="-0.499984740745262"/>
        <rFont val="Arial"/>
        <family val="2"/>
        <charset val="238"/>
      </rPr>
      <t>Mountaineering</t>
    </r>
  </si>
  <si>
    <r>
      <t xml:space="preserve">Podnoszenie ciężarów
</t>
    </r>
    <r>
      <rPr>
        <sz val="8"/>
        <color theme="2" tint="-0.499984740745262"/>
        <rFont val="Arial"/>
        <family val="2"/>
        <charset val="238"/>
      </rPr>
      <t>Weight lifting</t>
    </r>
  </si>
  <si>
    <r>
      <rPr>
        <sz val="8"/>
        <rFont val="Arial"/>
        <family val="2"/>
        <charset val="238"/>
      </rPr>
      <t>Badminton</t>
    </r>
    <r>
      <rPr>
        <b/>
        <sz val="8"/>
        <rFont val="Arial"/>
        <family val="2"/>
        <charset val="238"/>
      </rPr>
      <t xml:space="preserve">
</t>
    </r>
    <r>
      <rPr>
        <sz val="8"/>
        <color theme="2" tint="-0.499984740745262"/>
        <rFont val="Arial"/>
        <family val="2"/>
        <charset val="238"/>
      </rPr>
      <t>Badminton</t>
    </r>
  </si>
  <si>
    <r>
      <t xml:space="preserve">Tenis
</t>
    </r>
    <r>
      <rPr>
        <sz val="8"/>
        <color theme="2" tint="-0.499984740745262"/>
        <rFont val="Arial"/>
        <family val="2"/>
        <charset val="238"/>
      </rPr>
      <t>Tennis</t>
    </r>
  </si>
  <si>
    <t>Sportowe ratownictwo wodne
Life Saving</t>
  </si>
  <si>
    <r>
      <t xml:space="preserve">Strzelectwo sportowe
</t>
    </r>
    <r>
      <rPr>
        <sz val="8"/>
        <color theme="2" tint="-0.499984740745262"/>
        <rFont val="Arial"/>
        <family val="2"/>
        <charset val="238"/>
      </rPr>
      <t>Sport shooting</t>
    </r>
    <r>
      <rPr>
        <sz val="8"/>
        <rFont val="Arial"/>
        <family val="2"/>
        <charset val="238"/>
      </rPr>
      <t xml:space="preserve">
</t>
    </r>
  </si>
  <si>
    <r>
      <t xml:space="preserve">Orientacja sportowa
</t>
    </r>
    <r>
      <rPr>
        <sz val="8"/>
        <color theme="2" tint="-0.499984740745262"/>
        <rFont val="Arial"/>
        <family val="2"/>
        <charset val="238"/>
      </rPr>
      <t xml:space="preserve">Orienteering
</t>
    </r>
  </si>
  <si>
    <r>
      <t xml:space="preserve">Teakwondo olimpijskie 
</t>
    </r>
    <r>
      <rPr>
        <sz val="8"/>
        <color theme="2" tint="-0.499984740745262"/>
        <rFont val="Arial"/>
        <family val="2"/>
        <charset val="238"/>
      </rPr>
      <t xml:space="preserve">Olympic taekwondo  </t>
    </r>
  </si>
  <si>
    <r>
      <t xml:space="preserve">MMA (mieszane sztuki walki)
</t>
    </r>
    <r>
      <rPr>
        <sz val="8"/>
        <color theme="1" tint="0.34998626667073579"/>
        <rFont val="Arial"/>
        <family val="2"/>
        <charset val="238"/>
      </rPr>
      <t>MMA (mixed martial arts)</t>
    </r>
  </si>
  <si>
    <r>
      <t xml:space="preserve">zapasy kobiet
</t>
    </r>
    <r>
      <rPr>
        <sz val="8"/>
        <color theme="1" tint="0.34998626667073579"/>
        <rFont val="Arial"/>
        <family val="2"/>
        <charset val="238"/>
      </rPr>
      <t>women's wrestling</t>
    </r>
    <r>
      <rPr>
        <sz val="8"/>
        <rFont val="Arial"/>
        <family val="2"/>
        <charset val="238"/>
      </rPr>
      <t xml:space="preserve">
</t>
    </r>
  </si>
  <si>
    <r>
      <t xml:space="preserve">Taekwondo
</t>
    </r>
    <r>
      <rPr>
        <sz val="8"/>
        <color theme="1" tint="0.34998626667073579"/>
        <rFont val="Arial"/>
        <family val="2"/>
        <charset val="238"/>
      </rPr>
      <t xml:space="preserve">Taekwondo </t>
    </r>
  </si>
  <si>
    <r>
      <t xml:space="preserve">    zapasy kobiet
</t>
    </r>
    <r>
      <rPr>
        <sz val="8"/>
        <color theme="1" tint="0.34998626667073579"/>
        <rFont val="Arial"/>
        <family val="2"/>
        <charset val="238"/>
      </rPr>
      <t xml:space="preserve">    women's wrestling</t>
    </r>
    <r>
      <rPr>
        <sz val="8"/>
        <rFont val="Arial"/>
        <family val="2"/>
        <charset val="238"/>
      </rPr>
      <t xml:space="preserve">
</t>
    </r>
  </si>
  <si>
    <r>
      <rPr>
        <sz val="8"/>
        <rFont val="Arial"/>
        <family val="2"/>
        <charset val="238"/>
      </rPr>
      <t>Polska Federacja Petanque - Polski Związek Sportowy</t>
    </r>
    <r>
      <rPr>
        <sz val="8"/>
        <color theme="1" tint="0.34998626667073579"/>
        <rFont val="Arial"/>
        <family val="2"/>
        <charset val="238"/>
      </rPr>
      <t xml:space="preserve">
Polish Petanque Federation</t>
    </r>
  </si>
  <si>
    <r>
      <rPr>
        <sz val="8"/>
        <rFont val="Arial"/>
        <family val="2"/>
        <charset val="238"/>
      </rPr>
      <t>P. Z. Sportowy Cheerleadingu</t>
    </r>
    <r>
      <rPr>
        <sz val="8"/>
        <color theme="1" tint="0.34998626667073579"/>
        <rFont val="Arial"/>
        <family val="2"/>
        <charset val="238"/>
      </rPr>
      <t xml:space="preserve">
Polish Cheerleading Sports Association</t>
    </r>
  </si>
  <si>
    <t>.</t>
  </si>
  <si>
    <r>
      <t xml:space="preserve">Wodne Ochotnicze Pogotowie Ratunkowe
</t>
    </r>
    <r>
      <rPr>
        <sz val="8"/>
        <color theme="1" tint="0.34998626667073579"/>
        <rFont val="Arial"/>
        <family val="2"/>
        <charset val="238"/>
      </rPr>
      <t>Voluntary Water Rescue Service</t>
    </r>
  </si>
  <si>
    <r>
      <t xml:space="preserve">Polska Unia Karate
</t>
    </r>
    <r>
      <rPr>
        <sz val="8"/>
        <color theme="1" tint="0.34998626667073579"/>
        <rFont val="Arial"/>
        <family val="2"/>
        <charset val="238"/>
      </rPr>
      <t>Polish Karate Union</t>
    </r>
  </si>
  <si>
    <r>
      <rPr>
        <sz val="8"/>
        <color theme="1"/>
        <rFont val="Arial"/>
        <family val="2"/>
        <charset val="238"/>
      </rPr>
      <t>P. Z. Hokeja Podwodnego</t>
    </r>
    <r>
      <rPr>
        <sz val="8"/>
        <color theme="1" tint="0.34998626667073579"/>
        <rFont val="Arial"/>
        <family val="2"/>
        <charset val="238"/>
      </rPr>
      <t xml:space="preserve">
Polish Underwater Hockey Association</t>
    </r>
  </si>
  <si>
    <r>
      <rPr>
        <sz val="8"/>
        <rFont val="Arial"/>
        <family val="2"/>
        <charset val="238"/>
      </rPr>
      <t>P. Z. Surfingu</t>
    </r>
    <r>
      <rPr>
        <sz val="8"/>
        <color theme="1" tint="0.34998626667073579"/>
        <rFont val="Arial"/>
        <family val="2"/>
        <charset val="238"/>
      </rPr>
      <t xml:space="preserve">
Polish Surfing Federation</t>
    </r>
  </si>
  <si>
    <r>
      <rPr>
        <sz val="8"/>
        <rFont val="Arial"/>
        <family val="2"/>
        <charset val="238"/>
      </rPr>
      <t>P. Z. Rugby na Wózkach</t>
    </r>
    <r>
      <rPr>
        <sz val="8"/>
        <color theme="1" tint="0.34998626667073579"/>
        <rFont val="Arial"/>
        <family val="2"/>
        <charset val="238"/>
      </rPr>
      <t xml:space="preserve">
Polish Wheelchair Rugby Federation</t>
    </r>
  </si>
  <si>
    <r>
      <t xml:space="preserve">Surfing
</t>
    </r>
    <r>
      <rPr>
        <sz val="8"/>
        <color theme="1" tint="0.34998626667073579"/>
        <rFont val="Arial"/>
        <family val="2"/>
        <charset val="238"/>
      </rPr>
      <t>Surfing</t>
    </r>
  </si>
  <si>
    <r>
      <t xml:space="preserve">Sportowe ratownictwo wodne
</t>
    </r>
    <r>
      <rPr>
        <sz val="8"/>
        <color theme="1" tint="0.34998626667073579"/>
        <rFont val="Arial"/>
        <family val="2"/>
        <charset val="238"/>
      </rPr>
      <t>Life saving</t>
    </r>
  </si>
  <si>
    <t xml:space="preserve">a Łącznie z zawodnikami zagranicznymi występującymi w Polsce. Zawodnicy mogą być wykazani wielokrotnie, jeżeli posiadają licencje w kilku sportach nadzorowanych przez jeden związek sportowy. b Łącznie z short track. </t>
  </si>
  <si>
    <t xml:space="preserve">a Including foreign competitors playing in Poland. Competitors may be shown several times if they are licensed in several sports supervised by one sports association. b Including short track. </t>
  </si>
  <si>
    <t>a Sędziowie sportowi mogą być wykazani wielokrotnie, jeżeli posiadają licencje w kilku sportach. b Łącznie z short track.</t>
  </si>
  <si>
    <t xml:space="preserve">a Sports judges may be shown several times if they are licensed in several sports supervised by one sports association. b Including short track. </t>
  </si>
  <si>
    <t xml:space="preserve">TABL. 31. </t>
  </si>
  <si>
    <t xml:space="preserve">TABL. 32. </t>
  </si>
  <si>
    <t xml:space="preserve">TABL. 33. </t>
  </si>
  <si>
    <t xml:space="preserve">TABL. 36. </t>
  </si>
  <si>
    <t xml:space="preserve">TABL. 37. </t>
  </si>
  <si>
    <t xml:space="preserve">TABL. 38. </t>
  </si>
  <si>
    <t xml:space="preserve">TABL. 39. </t>
  </si>
  <si>
    <t>Kultura fizyczna w latach 2023 i 2024</t>
  </si>
  <si>
    <t>Physical education in the years 2023 and 2024</t>
  </si>
  <si>
    <t>TABL. 2.   SEKCJE, CZŁONKOWIE I ĆWICZĄCY W KLUBACH SPORTOWYCH WEDŁUG
                 MAKROREGIONÓW W 2024 R.</t>
  </si>
  <si>
    <r>
      <t xml:space="preserve">                 </t>
    </r>
    <r>
      <rPr>
        <sz val="10"/>
        <color theme="1" tint="0.34998626667073579"/>
        <rFont val="Arial"/>
        <family val="2"/>
        <charset val="238"/>
      </rPr>
      <t>SECTIONS,  MEMBERS  AND  PERSONS  PRACTISING  SPORTS  IN  SPORTS  CLUBS
                 BY  REGION  IN  2024</t>
    </r>
  </si>
  <si>
    <t>SEKCJE, CZŁONKOWIE I ĆWICZĄCY W KLUBACH SPORTOWYCH WEDŁUG MAKROREGIONÓW W 2024 R.</t>
  </si>
  <si>
    <t>SECTIONS, MEMBERS AND PERSONS PRACTISING SPORTS IN SPORTS CLUBS BY REGION IN 2024</t>
  </si>
  <si>
    <t>SEKCJE, CZŁONKOWIE I ĆWICZĄCY W KLUBACH SPORTOWYCH WEDŁUG WOJEWÓDZTW W 2024 R.</t>
  </si>
  <si>
    <t>SECTIONS, MEMBERS AND PERSONS PRACTISING SPORTS IN SPORTS CLUBS BY VOIVODSHIP IN 2024</t>
  </si>
  <si>
    <t>SEKCJE, CZŁONKOWIE I ĆWICZĄCY W KLUBACH SPORTOWYCH AKADEMICKIEGO ZWIĄZKU SPORTOWEGO WEDŁUG WOJEWÓDZTW W 2024 R.</t>
  </si>
  <si>
    <t>SECTIONS, MEMBERS AND PERSONS PRACTISING SPORTS IN SPORTS CLUBS OF UNIVERSITY SPORTS ASSOCIATION BY VOIVODSHIP IN 2024</t>
  </si>
  <si>
    <t>SEKCJE, CZŁONKOWIE I ĆWICZĄCY W KLUBACH SPORTOWYCH KRAJOWEGO ZRZESZENIA LUDOWE ZESPOŁY SPORTOWE WEDŁUG WOJEWÓDZTW W 2024 R.</t>
  </si>
  <si>
    <t>SEKCJE, CZŁONKOWIE I ĆWICZĄCY W KLUBACH SPORTOWYCH SZKOLNEGO ZWIĄZKU SPORTOWEGO WEDŁUG WOJEWÓDZTW W 2024 R.</t>
  </si>
  <si>
    <t>SECTIONS, MEMBERS AND PERSONS PRACTISING SPORTS IN SPORTS CLUBS OF SCHOOL SPORTS ASSOCIATION BY VOIVODSHIP IN 2024</t>
  </si>
  <si>
    <t>SEKCJE, CZŁONKOWIE I ĆWICZĄCY W UCZNIOWSKICH KLUBACH SPORTOWYCH WEDŁUG WOJEWÓDZTW W 2024 R.</t>
  </si>
  <si>
    <t>SECTIONS, MEMBERS AND PERSONS PRACTISING SPORTS IN STUDENT SPORTS CLUBS BY VOIVODSHIP IN 2024</t>
  </si>
  <si>
    <t>SEKCJE, CZŁONKOWIE I ĆWICZĄCY W WYZNANIOWYCH KLUBACH SPORTOWYCH WEDŁUG WOJEWÓDZTW W 2024 R.</t>
  </si>
  <si>
    <t>SECTIONS, MEMBERS AND PERSONS PRACTISING SPORTS IN RELIGIOUS SPORTS CLUBS BY VOIVODSHIP IN 2024</t>
  </si>
  <si>
    <t>SEKCJE SPORTOWE I ĆWICZĄCY W SEKCJACH WEDŁUG RODZAJÓW SPORTÓW W 2024 R.</t>
  </si>
  <si>
    <t>SPORT SECTIONS AND PERSONS PRACTISING SPORTS IN SECTIONS BY KINDS OF SPORTS IN 2024</t>
  </si>
  <si>
    <t>WYBRANE RODZAJE SPORTÓW WEDŁUG WOJEWÓDZTW W 2024 R.</t>
  </si>
  <si>
    <t>SELECTED KINDS OF SPORTS BY VOIVODSHIP IN 2024</t>
  </si>
  <si>
    <t>SEKCJE I ĆWICZĄCY W KLUBACH SPORTOWYCH AKADEMICKIEGO ZWIĄZKU SPORTOWEGO WEDŁUG WYBRANYCH RODZAJÓW SPORTÓW W 2024 R.</t>
  </si>
  <si>
    <t>SECTIONS AND PERSONS PRACTISING SPORTS IN SPORTS CLUBS OF UNIVERSITY SPORTS ASSOCIATION BY SELECTED KINDS OF SPORTS IN 2024</t>
  </si>
  <si>
    <t>SEKCJE I ĆWICZĄCY W KLUBACH SPORTOWYCH SZKOLNEGO ZWIĄZKU SPORTOWEGO WEDŁUG WYBRANYCH RODZAJÓW SPORTÓW W 2024 R.</t>
  </si>
  <si>
    <t>SECTIONS AND PERSONS PRACTISING SPORTS IN SPORTS CLUBS OF SCHOOL SPORTS ASSOCIATION BY SELECTED KINDS OF SPORTS IN 2024</t>
  </si>
  <si>
    <t>SEKCJE I ĆWICZĄCY W UCZNIOWSKICH KLUBACH SPORTOWYCH WEDŁUG WYBRANYCH RODZAJÓW SPORTÓW W 2024 R.</t>
  </si>
  <si>
    <t>SECTIONS AND PERSONS PRACTISING SPORTS IN STUDENT SPORTS CLUBS BY SELECTED KINDS OF SPORTS IN 2024</t>
  </si>
  <si>
    <t>SEKCJE I ĆWICZĄCY W WYZNANIOWYCH KLUBACH SPORTOWYCH WEDŁUG WYBRANYCH RODZAJÓW SPORTÓW W 2024 R.</t>
  </si>
  <si>
    <t>SECTIONS AND PERSONS PRACTISING SPORTS IN RELIGIOUS SPORTS CLUBS BY SELECTED KINDS OF SPORTS IN 2024</t>
  </si>
  <si>
    <t>KADRA SZKOLENIOWA I ADMINISTRACYJNA W KLUBACH SPORTOWYCH WEDŁUG WYBRANYCH PIONÓW SPORTOWYCH W 2024 R.</t>
  </si>
  <si>
    <t>COACHING AND ADMINISTRATIVE STAFF IN SPORTS CLUBS BY SELECTED SPORTS DEPARTMENTS IN 2024</t>
  </si>
  <si>
    <t>KADRA SZKOLENIOWA I ADMINISTRACYJNA W KLUBACH SPORTOWYCH WEDŁUG MAKROREGIONÓW W 2024 R.</t>
  </si>
  <si>
    <t>COACHING AND ADMINISTRATIVE STAFF IN SPORTS CLUBS BY REGION IN 2024</t>
  </si>
  <si>
    <t>KADRA SZKOLENIOWA W KLUBACH SPORTOWYCH WEDŁUG WOJEWÓDZTW W 2024 R.</t>
  </si>
  <si>
    <t>COACHING STAFF IN SPORTS CLUBS BY VOIVODSHIP IN 2024</t>
  </si>
  <si>
    <t>KADRA SZKOLENIOWA W SEKCJACH SPORTOWYCH WEDŁUG RODZAJÓW SPORTÓW W 2024 R.</t>
  </si>
  <si>
    <t>COACHING STAFF IN SPORTS SECTIONS BY KINDS OF SPORTS IN 2024</t>
  </si>
  <si>
    <t>SECTIONS, MEMBERS AND PERSONS PRACTISING SPORTS IN SPORTS CLUBS BY VOIVODSHIP,SUBREGION AND POWIAT IN 2024</t>
  </si>
  <si>
    <r>
      <t xml:space="preserve">Taekwondo olimpijskie
</t>
    </r>
    <r>
      <rPr>
        <sz val="8"/>
        <color rgb="FF595959"/>
        <rFont val="Arial"/>
        <family val="2"/>
        <charset val="238"/>
      </rPr>
      <t>Olympic taekwondo</t>
    </r>
  </si>
  <si>
    <r>
      <t xml:space="preserve">Jeździectwo
</t>
    </r>
    <r>
      <rPr>
        <sz val="8"/>
        <color rgb="FF595959"/>
        <rFont val="Arial"/>
        <family val="2"/>
        <charset val="238"/>
      </rPr>
      <t>Equestrian</t>
    </r>
  </si>
  <si>
    <r>
      <t xml:space="preserve">XVII LETNIE IGRZYSKA PARALIMPIJSKIE PARYŻ 2024
</t>
    </r>
    <r>
      <rPr>
        <sz val="8"/>
        <color rgb="FF595959"/>
        <rFont val="Arial"/>
        <family val="2"/>
        <charset val="238"/>
      </rPr>
      <t>THE XVII PARIS 2024 SUMMER PARALIMPIC GAMES</t>
    </r>
  </si>
  <si>
    <r>
      <rPr>
        <sz val="8"/>
        <rFont val="Arial"/>
        <family val="2"/>
        <charset val="238"/>
      </rPr>
      <t>Parakolarstwo</t>
    </r>
    <r>
      <rPr>
        <sz val="8"/>
        <color rgb="FF595959"/>
        <rFont val="Arial"/>
        <family val="2"/>
        <charset val="238"/>
      </rPr>
      <t xml:space="preserve">
Para Cycling</t>
    </r>
  </si>
  <si>
    <r>
      <rPr>
        <sz val="8"/>
        <rFont val="Arial"/>
        <family val="2"/>
        <charset val="238"/>
      </rPr>
      <t>Paralekkoatletyka</t>
    </r>
    <r>
      <rPr>
        <sz val="8"/>
        <color rgb="FF595959"/>
        <rFont val="Arial"/>
        <family val="2"/>
        <charset val="238"/>
      </rPr>
      <t xml:space="preserve">
Para Athletics</t>
    </r>
  </si>
  <si>
    <r>
      <rPr>
        <sz val="8"/>
        <rFont val="Arial"/>
        <family val="2"/>
        <charset val="238"/>
      </rPr>
      <t>Parałucznictwo</t>
    </r>
    <r>
      <rPr>
        <sz val="8"/>
        <color rgb="FF595959"/>
        <rFont val="Arial"/>
        <family val="2"/>
        <charset val="238"/>
      </rPr>
      <t xml:space="preserve">
Para Archery</t>
    </r>
  </si>
  <si>
    <r>
      <t xml:space="preserve">Parapływanie
</t>
    </r>
    <r>
      <rPr>
        <sz val="8"/>
        <color rgb="FF595959"/>
        <rFont val="Arial"/>
        <family val="2"/>
        <charset val="238"/>
      </rPr>
      <t>Para Swimming</t>
    </r>
  </si>
  <si>
    <r>
      <rPr>
        <sz val="8"/>
        <rFont val="Arial"/>
        <family val="2"/>
        <charset val="238"/>
      </rPr>
      <t>Parastrzelectwo</t>
    </r>
    <r>
      <rPr>
        <sz val="8"/>
        <color rgb="FF595959"/>
        <rFont val="Arial"/>
        <family val="2"/>
        <charset val="238"/>
      </rPr>
      <t xml:space="preserve">
Shooting Para Sport</t>
    </r>
  </si>
  <si>
    <r>
      <rPr>
        <sz val="8"/>
        <rFont val="Arial"/>
        <family val="2"/>
        <charset val="238"/>
      </rPr>
      <t>Paraszermierka</t>
    </r>
    <r>
      <rPr>
        <sz val="8"/>
        <color rgb="FF595959"/>
        <rFont val="Arial"/>
        <family val="2"/>
        <charset val="238"/>
      </rPr>
      <t xml:space="preserve">
Wheelchair fencing </t>
    </r>
  </si>
  <si>
    <r>
      <rPr>
        <sz val="8"/>
        <rFont val="Arial"/>
        <family val="2"/>
        <charset val="238"/>
      </rPr>
      <t>Paratenis stołowy</t>
    </r>
    <r>
      <rPr>
        <sz val="8"/>
        <color rgb="FF595959"/>
        <rFont val="Arial"/>
        <family val="2"/>
        <charset val="238"/>
      </rPr>
      <t xml:space="preserve">
Para Table Tennis</t>
    </r>
  </si>
  <si>
    <r>
      <rPr>
        <sz val="8"/>
        <rFont val="Arial"/>
        <family val="2"/>
        <charset val="238"/>
      </rPr>
      <t>Narciarstwo alpejskie</t>
    </r>
    <r>
      <rPr>
        <sz val="8"/>
        <color rgb="FF595959"/>
        <rFont val="Arial"/>
        <family val="2"/>
        <charset val="238"/>
      </rPr>
      <t xml:space="preserve">
Alpine skiing </t>
    </r>
  </si>
  <si>
    <r>
      <rPr>
        <sz val="8"/>
        <rFont val="Arial"/>
        <family val="2"/>
        <charset val="238"/>
      </rPr>
      <t>Narciarstwo klasyczne</t>
    </r>
    <r>
      <rPr>
        <sz val="8"/>
        <color rgb="FF595959"/>
        <rFont val="Arial"/>
        <family val="2"/>
        <charset val="238"/>
      </rPr>
      <t xml:space="preserve">
Nordic skiing </t>
    </r>
  </si>
  <si>
    <r>
      <rPr>
        <sz val="8"/>
        <rFont val="Arial"/>
        <family val="2"/>
        <charset val="238"/>
      </rPr>
      <t>Parasnowboard</t>
    </r>
    <r>
      <rPr>
        <sz val="8"/>
        <color rgb="FF595959"/>
        <rFont val="Arial"/>
        <family val="2"/>
        <charset val="238"/>
      </rPr>
      <t xml:space="preserve">
Parasnowboard </t>
    </r>
  </si>
  <si>
    <r>
      <rPr>
        <sz val="8"/>
        <rFont val="Arial"/>
        <family val="2"/>
        <charset val="238"/>
      </rPr>
      <t>Piłka nożna</t>
    </r>
    <r>
      <rPr>
        <sz val="8"/>
        <color rgb="FF595959"/>
        <rFont val="Arial"/>
        <family val="2"/>
        <charset val="238"/>
      </rPr>
      <t xml:space="preserve">
Football</t>
    </r>
  </si>
  <si>
    <r>
      <rPr>
        <sz val="8"/>
        <rFont val="Arial"/>
        <family val="2"/>
        <charset val="238"/>
      </rPr>
      <t>Tenis</t>
    </r>
    <r>
      <rPr>
        <sz val="8"/>
        <color rgb="FF595959"/>
        <rFont val="Arial"/>
        <family val="2"/>
        <charset val="238"/>
      </rPr>
      <t xml:space="preserve">
Tennis</t>
    </r>
  </si>
  <si>
    <r>
      <rPr>
        <sz val="8"/>
        <rFont val="Arial"/>
        <family val="2"/>
        <charset val="238"/>
      </rPr>
      <t>Warcaby</t>
    </r>
    <r>
      <rPr>
        <sz val="8"/>
        <color rgb="FF595959"/>
        <rFont val="Arial"/>
        <family val="2"/>
        <charset val="238"/>
      </rPr>
      <t xml:space="preserve">
Draughts</t>
    </r>
  </si>
  <si>
    <r>
      <rPr>
        <b/>
        <sz val="8"/>
        <color theme="1"/>
        <rFont val="Arial"/>
        <family val="2"/>
        <charset val="238"/>
      </rPr>
      <t>MISTRZOSTWA EUROPY 2023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EUROPEAN CHAMPIONSHIPS 2023</t>
    </r>
  </si>
  <si>
    <r>
      <rPr>
        <sz val="8"/>
        <rFont val="Arial"/>
        <family val="2"/>
        <charset val="238"/>
      </rPr>
      <t>Judo</t>
    </r>
    <r>
      <rPr>
        <sz val="8"/>
        <color rgb="FF595959"/>
        <rFont val="Arial"/>
        <family val="2"/>
        <charset val="238"/>
      </rPr>
      <t xml:space="preserve">
Judo</t>
    </r>
  </si>
  <si>
    <r>
      <t xml:space="preserve">Boccia
</t>
    </r>
    <r>
      <rPr>
        <sz val="8"/>
        <color rgb="FF595959"/>
        <rFont val="Arial"/>
        <family val="2"/>
        <charset val="238"/>
      </rPr>
      <t>Boccia</t>
    </r>
  </si>
  <si>
    <r>
      <t xml:space="preserve">Amp futbol
</t>
    </r>
    <r>
      <rPr>
        <sz val="8"/>
        <color rgb="FF595959"/>
        <rFont val="Arial"/>
        <family val="2"/>
        <charset val="238"/>
      </rPr>
      <t>Amputee football</t>
    </r>
  </si>
  <si>
    <r>
      <rPr>
        <sz val="8"/>
        <rFont val="Arial"/>
        <family val="2"/>
        <charset val="238"/>
      </rPr>
      <t>Koszykówka</t>
    </r>
    <r>
      <rPr>
        <sz val="8"/>
        <color rgb="FF595959"/>
        <rFont val="Arial"/>
        <family val="2"/>
        <charset val="238"/>
      </rPr>
      <t xml:space="preserve">
Basketball</t>
    </r>
  </si>
  <si>
    <r>
      <t xml:space="preserve">Sit-wakeboarding
</t>
    </r>
    <r>
      <rPr>
        <sz val="8"/>
        <color theme="1" tint="0.34998626667073579"/>
        <rFont val="Arial"/>
        <family val="2"/>
        <charset val="238"/>
      </rPr>
      <t>Sit-wakeboarding</t>
    </r>
  </si>
  <si>
    <r>
      <rPr>
        <b/>
        <sz val="8"/>
        <rFont val="Arial"/>
        <family val="2"/>
        <charset val="238"/>
      </rPr>
      <t>MISTRZOSTWA EUROPY 2024</t>
    </r>
    <r>
      <rPr>
        <sz val="8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EUROPEAN CHAMPIONSHIPS 2024</t>
    </r>
  </si>
  <si>
    <r>
      <t xml:space="preserve">Bowling
</t>
    </r>
    <r>
      <rPr>
        <sz val="8"/>
        <color rgb="FF595959"/>
        <rFont val="Arial"/>
        <family val="2"/>
        <charset val="238"/>
      </rPr>
      <t>Nine-pin bowling</t>
    </r>
  </si>
  <si>
    <r>
      <rPr>
        <sz val="8"/>
        <rFont val="Arial"/>
        <family val="2"/>
        <charset val="238"/>
      </rPr>
      <t>Taekwondo
T</t>
    </r>
    <r>
      <rPr>
        <sz val="8"/>
        <color rgb="FF595959"/>
        <rFont val="Arial"/>
        <family val="2"/>
        <charset val="238"/>
      </rPr>
      <t xml:space="preserve">aekwondo </t>
    </r>
  </si>
  <si>
    <t>Taniec na wózkach
Wheelchair dancesport</t>
  </si>
  <si>
    <t>SEKCJE, CZŁONKOWIE I ĆWICZĄCY W KLUBACH SPORTOWYCH WEDŁUG WOJEWÓDZTW, PODREGIONÓW I POWIATÓW W 2024 R .</t>
  </si>
  <si>
    <r>
      <t xml:space="preserve">srebrne
</t>
    </r>
    <r>
      <rPr>
        <sz val="8"/>
        <color theme="1" tint="0.34998626667073579"/>
        <rFont val="Arial"/>
        <family val="2"/>
        <charset val="238"/>
      </rPr>
      <t>silver</t>
    </r>
  </si>
  <si>
    <r>
      <t xml:space="preserve">Medale
</t>
    </r>
    <r>
      <rPr>
        <sz val="8"/>
        <color theme="1" tint="0.34998626667073579"/>
        <rFont val="Arial"/>
        <family val="2"/>
        <charset val="238"/>
      </rPr>
      <t>Medals</t>
    </r>
  </si>
  <si>
    <r>
      <t xml:space="preserve">Dalsze miejsca
</t>
    </r>
    <r>
      <rPr>
        <sz val="8"/>
        <color theme="1" tint="0.34998626667073579"/>
        <rFont val="Arial"/>
        <family val="2"/>
        <charset val="238"/>
      </rPr>
      <t xml:space="preserve">Further places   </t>
    </r>
    <r>
      <rPr>
        <sz val="8"/>
        <color theme="1"/>
        <rFont val="Arial"/>
        <family val="2"/>
        <charset val="238"/>
      </rPr>
      <t xml:space="preserve">                            </t>
    </r>
  </si>
  <si>
    <r>
      <t xml:space="preserve">razem              </t>
    </r>
    <r>
      <rPr>
        <sz val="8"/>
        <color rgb="FF757171"/>
        <rFont val="Arial"/>
        <family val="2"/>
        <charset val="238"/>
      </rPr>
      <t>total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              </t>
    </r>
  </si>
  <si>
    <r>
      <t xml:space="preserve">Boks
</t>
    </r>
    <r>
      <rPr>
        <sz val="8"/>
        <color theme="2" tint="-0.499984740745262"/>
        <rFont val="Arial"/>
        <family val="2"/>
        <charset val="238"/>
      </rPr>
      <t>Boxing</t>
    </r>
  </si>
  <si>
    <r>
      <t xml:space="preserve">Kolarstwo torowe
</t>
    </r>
    <r>
      <rPr>
        <sz val="8"/>
        <color theme="1" tint="0.34998626667073579"/>
        <rFont val="Arial"/>
        <family val="2"/>
        <charset val="238"/>
      </rPr>
      <t>Track cycling</t>
    </r>
  </si>
  <si>
    <r>
      <t xml:space="preserve">Lekkoatletyka
</t>
    </r>
    <r>
      <rPr>
        <sz val="8"/>
        <color theme="2" tint="-0.499984740745262"/>
        <rFont val="Arial"/>
        <family val="2"/>
        <charset val="238"/>
      </rPr>
      <t>Athletics</t>
    </r>
  </si>
  <si>
    <r>
      <t xml:space="preserve">Piłka siatkowa
</t>
    </r>
    <r>
      <rPr>
        <sz val="8"/>
        <color theme="2" tint="-0.499984740745262"/>
        <rFont val="Arial"/>
        <family val="2"/>
        <charset val="238"/>
      </rPr>
      <t>Volleyball</t>
    </r>
    <r>
      <rPr>
        <sz val="8"/>
        <rFont val="Arial"/>
        <family val="2"/>
        <charset val="238"/>
      </rPr>
      <t xml:space="preserve">
</t>
    </r>
  </si>
  <si>
    <r>
      <t xml:space="preserve">Wioślarstwo
</t>
    </r>
    <r>
      <rPr>
        <sz val="8"/>
        <color theme="2" tint="-0.499984740745262"/>
        <rFont val="Arial"/>
        <family val="2"/>
        <charset val="238"/>
      </rPr>
      <t>Rowing</t>
    </r>
  </si>
  <si>
    <r>
      <t xml:space="preserve">Wspinaczka sportowa
</t>
    </r>
    <r>
      <rPr>
        <sz val="8"/>
        <color theme="2" tint="-0.499984740745262"/>
        <rFont val="Arial"/>
        <family val="2"/>
        <charset val="238"/>
      </rPr>
      <t>Sport climbing</t>
    </r>
  </si>
  <si>
    <t>-</t>
  </si>
  <si>
    <r>
      <t>1</t>
    </r>
    <r>
      <rPr>
        <vertAlign val="superscript"/>
        <sz val="8"/>
        <rFont val="Arial"/>
        <family val="2"/>
        <charset val="238"/>
      </rPr>
      <t>a</t>
    </r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</si>
  <si>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5-8 miejsca ex aequo.</t>
    </r>
  </si>
  <si>
    <r>
      <t xml:space="preserve">Kajakarstwo, slalom 
</t>
    </r>
    <r>
      <rPr>
        <sz val="8"/>
        <color theme="1" tint="0.34998626667073579"/>
        <rFont val="Arial"/>
        <family val="2"/>
        <charset val="238"/>
      </rPr>
      <t>Canoeing</t>
    </r>
    <r>
      <rPr>
        <sz val="8"/>
        <color theme="1"/>
        <rFont val="Arial"/>
        <family val="2"/>
        <charset val="238"/>
      </rPr>
      <t>,</t>
    </r>
    <r>
      <rPr>
        <sz val="8"/>
        <color theme="2" tint="-0.499984740745262"/>
        <rFont val="Arial"/>
        <family val="2"/>
        <charset val="238"/>
      </rPr>
      <t xml:space="preserve"> slalom</t>
    </r>
  </si>
  <si>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5-8 places ex eaquo.</t>
    </r>
  </si>
  <si>
    <t>TABL. 36.   SPORTOWE IMPREZY MASOWE</t>
  </si>
  <si>
    <r>
      <t xml:space="preserve">TABL. 32.   </t>
    </r>
    <r>
      <rPr>
        <b/>
        <sz val="10"/>
        <color theme="1"/>
        <rFont val="Arial"/>
        <family val="2"/>
        <charset val="238"/>
      </rPr>
      <t>WYDATKI BIEŻĄCE BUDŻETU PAŃSTWA I BUDŻETÓW JEDNOSTEK SAMORZĄDU
                  TERYTORIALNEGO W DZIALE 926 – KULTURA FIZYCZNA</t>
    </r>
    <r>
      <rPr>
        <b/>
        <sz val="11"/>
        <color theme="1"/>
        <rFont val="Arial"/>
        <family val="2"/>
        <charset val="238"/>
      </rPr>
      <t xml:space="preserve"> </t>
    </r>
  </si>
  <si>
    <r>
      <t xml:space="preserve">TABL. 31.   </t>
    </r>
    <r>
      <rPr>
        <b/>
        <sz val="10"/>
        <color theme="1"/>
        <rFont val="Arial"/>
        <family val="2"/>
        <charset val="238"/>
      </rPr>
      <t>WYDATKI BUDŻETU PAŃSTWA I BUDŻETÓW JEDNOSTEK SAMORZĄDU 
                  TERYTORIALNEGO W DZIALE 926 – KULTURA FIZYCZNA</t>
    </r>
    <r>
      <rPr>
        <b/>
        <sz val="11"/>
        <color theme="1"/>
        <rFont val="Arial"/>
        <family val="2"/>
        <charset val="238"/>
      </rPr>
      <t xml:space="preserve"> </t>
    </r>
  </si>
  <si>
    <t>TABL. 28.     UDZIAŁ ZAWODNIKÓW POLSKICH W IGRZYSKACH XXXIII OLIMPIADY PARYŻ 2024</t>
  </si>
  <si>
    <t xml:space="preserve">TABL. 40. </t>
  </si>
  <si>
    <t>TABL. 30.</t>
  </si>
  <si>
    <t>UDZIAŁ ZAWODNIKÓW POLSKICH W IGRZYSKACH XXXIII OLIMPIADY PARYŻ 2024</t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</si>
  <si>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saneczkarstwo
</t>
    </r>
    <r>
      <rPr>
        <sz val="8"/>
        <color theme="1" tint="0.34998626667073579"/>
        <rFont val="Arial"/>
        <family val="2"/>
        <charset val="238"/>
      </rPr>
      <t>luge</t>
    </r>
  </si>
  <si>
    <r>
      <t xml:space="preserve">Taekwondo
</t>
    </r>
    <r>
      <rPr>
        <sz val="8"/>
        <color theme="2" tint="-0.499984740745262"/>
        <rFont val="Arial"/>
        <family val="2"/>
        <charset val="238"/>
      </rPr>
      <t>Teakwondo</t>
    </r>
  </si>
  <si>
    <r>
      <t xml:space="preserve">taekwondo
</t>
    </r>
    <r>
      <rPr>
        <sz val="8"/>
        <color theme="1" tint="0.34998626667073579"/>
        <rFont val="Arial"/>
        <family val="2"/>
        <charset val="238"/>
      </rPr>
      <t>taekwondo</t>
    </r>
  </si>
  <si>
    <r>
      <t xml:space="preserve">taekwondo olimpijskie
</t>
    </r>
    <r>
      <rPr>
        <sz val="8"/>
        <color rgb="FF595959"/>
        <rFont val="Arial"/>
        <family val="2"/>
        <charset val="238"/>
      </rPr>
      <t xml:space="preserve">olympic taekwondo </t>
    </r>
  </si>
  <si>
    <t>TABL. 35.   SZKOŁY MISTRZOSTWA SPORTOWEGO I SZKOŁY Z ODDZIAŁAMI MISTRZOSTWA SPORTOWEGO</t>
  </si>
  <si>
    <t>TABL. 34.   SZKOŁY SPORTOWE I SZKOŁY Z ODDZIAŁAMI SPORTOWYMI</t>
  </si>
  <si>
    <t xml:space="preserve">Liczba konkurencji                      </t>
  </si>
  <si>
    <t xml:space="preserve">                    PARTICIPATION OF POLISH COMPETITORS AT THE XXXIII PARIS 2024 OLYMPIC GAMES </t>
  </si>
  <si>
    <t>SECTIONS, MEMBERS AND PERSONS PRACTISING SPORTS IN SPORTS CLUBS OF RURAL SPORTS CLUBS NATIONAL ASSOCIATION BY VOIVODSHIP IN 2024</t>
  </si>
  <si>
    <t>SZKOŁY MISTRZOSTWA SPORTOWEGO I SZKOŁY Z ODDZIAŁAMI MISTRZOSTWA SPORTOWEGO</t>
  </si>
  <si>
    <t>SZKOŁY SPORTOWE I SZKOŁY Z ODDZIAŁAMI SPORTOWYMI</t>
  </si>
  <si>
    <t>TABL. 33.   WYDATKI BUDŻETÓW JEDNOSTEK SAMORZĄDU TERYTORIALNEGO W DZIALE 926 – KULTURA FIZYCZNA WEDŁUG WOJEWÓDZTW</t>
  </si>
  <si>
    <t xml:space="preserve">                  EXPENDITURE FROM LOCAL GOVERNMENT UNITS IN THE DIVISION 926 – PHYSICAL EDUCATION SECTION BY VOIVODSHIP</t>
  </si>
  <si>
    <t>TABL. 30.   MEDALE ZDOBYTE PRZEZ POLSKICH SPORTOWCÓW NIEPEŁNOSPRAWNYCH</t>
  </si>
  <si>
    <t>TABL. 29.   MEDALE ZDOBYTE PRZEZ ZAWODNIKÓW POLSKICH NA MISTRZOSTWACH ŚWIATA I EUROPY</t>
  </si>
  <si>
    <t xml:space="preserve">                  MEDALS WON BY POLISH COMPETITORS IN THE WORLD AND EUROPEAN CHAMPIONSHIPS</t>
  </si>
  <si>
    <r>
      <t>TABL. 21.   CZŁONKOWIE KADRY NARODOWEJ W POLSKICH ZWIĄZKACH SPORTOWYCH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</si>
  <si>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                   MEMBERS OF THE NATIONAL TEAM IN POLISH SPORTS ASSOCIATIONS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</si>
  <si>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TABL. 20.   SEKCJE, CZŁONKOWIE I ĆWICZĄCY W KLUBACH SPORTOWYCH WEDŁUG WOJEWÓDZTW, PODREGIONÓW I POWIATÓW W 2024 R.</t>
  </si>
  <si>
    <t xml:space="preserve">                  SECTIONS, MEMBERS AND PERSONS PRACTISING SPORTS IN SPORTS CLUBS BY VOIVODSHIP,SUBREGION AND POWIAT IN 2024</t>
  </si>
  <si>
    <r>
      <t xml:space="preserve">                  COACHING STAFF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IN SPORTS SECTIONS BY KINDS OF SPORTS IN 2024</t>
    </r>
  </si>
  <si>
    <t xml:space="preserve">                SPORT SECTIONS AND PERSONS PRACTISING SPORTS IN SECTIONS BY KINDS 
                OF SPORTS IN 2024</t>
  </si>
  <si>
    <t xml:space="preserve">TABL. 9.   SEKCJE SPORTOWE I ĆWICZĄCY W SEKCJACH WEDŁUG RODZAJÓW SPORTÓW W 2024 R. </t>
  </si>
  <si>
    <r>
      <t xml:space="preserve">               </t>
    </r>
    <r>
      <rPr>
        <sz val="10"/>
        <color theme="1" tint="0.34998626667073579"/>
        <rFont val="Arial"/>
        <family val="2"/>
        <charset val="238"/>
      </rPr>
      <t xml:space="preserve"> SECTIONS, MEMBERS AND PERSONS PRACTISING SPORTS IN SPORTS CLUBS OF RURAL SPORTS
                CLUBS NATIONAL ASSOCIATION BY VOIVODSHIP IN 2024</t>
    </r>
  </si>
  <si>
    <t xml:space="preserve">TABL. 4.   SEKCJE, CZŁONKOWIE I ĆWICZĄCY W KLUBACH SPORTOWYCH AKADEMICKIEGO ZWIĄZKU
                SPORTOWEGO WEDŁUG WOJEWÓDZTW W 2024 R. </t>
  </si>
  <si>
    <t>TABL. 37.   DZIAŁALNOŚĆ AKADEMICKIEGO ZWIĄZKU SPORTOWEGO WEDŁUG WOJEWÓDZTW</t>
  </si>
  <si>
    <t>TABL. 38.   DZIAŁALNOŚĆ KRAJOWEGO ZRZESZENIA LUDOWE ZESPOŁY SPORTOWE WEDŁUG WOJEWÓDZTW</t>
  </si>
  <si>
    <t>TABL. 39.   DZIAŁALNOŚĆ POLSKIEGO ZWIĄZKU SPORTU NIEPEŁNOSPRAWNYCH "START" 
                  WEDŁUG WOJEWÓDZTW</t>
  </si>
  <si>
    <t>TABL. 40.   DZIAŁALNOŚĆ TOWARZYSTWA KRZEWIENIA KULTURY FIZYCZNEJ WEDŁUG WOJEWÓDZTW</t>
  </si>
  <si>
    <r>
      <t xml:space="preserve">                   SPORTS JUDGES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IN POLISH SPORTS ASSOCIATIONS BY KINDS
                   OF SPORTS</t>
    </r>
  </si>
  <si>
    <r>
      <t xml:space="preserve">młodzież
do lat 18
</t>
    </r>
    <r>
      <rPr>
        <sz val="8"/>
        <color theme="1" tint="0.34998626667073579"/>
        <rFont val="Arial"/>
        <family val="2"/>
        <charset val="238"/>
      </rPr>
      <t>youth up to age of 18</t>
    </r>
  </si>
  <si>
    <r>
      <t xml:space="preserve">Piłka siatkowa plażowa
</t>
    </r>
    <r>
      <rPr>
        <sz val="8"/>
        <color rgb="FF595959"/>
        <rFont val="Arial"/>
        <family val="2"/>
        <charset val="238"/>
      </rPr>
      <t>Beach Volleyball</t>
    </r>
    <r>
      <rPr>
        <sz val="8"/>
        <rFont val="Arial"/>
        <family val="2"/>
        <charset val="238"/>
      </rPr>
      <t xml:space="preserve">
</t>
    </r>
  </si>
  <si>
    <r>
      <t xml:space="preserve">Piłka siatkowa
</t>
    </r>
    <r>
      <rPr>
        <sz val="8"/>
        <color rgb="FF595959"/>
        <rFont val="Arial"/>
        <family val="2"/>
        <charset val="238"/>
      </rPr>
      <t>Volleyball</t>
    </r>
    <r>
      <rPr>
        <sz val="8"/>
        <rFont val="Arial"/>
        <family val="2"/>
        <charset val="238"/>
      </rPr>
      <t xml:space="preserve">
</t>
    </r>
  </si>
  <si>
    <t>a The list of Polish sports associations, announced by the Minister competent for Physical Education, pursuant to Art. 11 paragraphy 5 of the Act of 25 June 2010 on Sport (Journal of  Laws 2024 item 1488)</t>
  </si>
  <si>
    <r>
      <t>Żeglarstwo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Sailing</t>
    </r>
    <r>
      <rPr>
        <vertAlign val="superscript"/>
        <sz val="8"/>
        <color rgb="FF595959"/>
        <rFont val="Arial"/>
        <family val="2"/>
        <charset val="238"/>
      </rPr>
      <t>b</t>
    </r>
  </si>
  <si>
    <r>
      <t>Żeglarstwo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Sailing</t>
    </r>
    <r>
      <rPr>
        <vertAlign val="superscript"/>
        <sz val="8"/>
        <color rgb="FF595959"/>
        <rFont val="Arial"/>
        <family val="2"/>
        <charset val="238"/>
      </rPr>
      <t>b</t>
    </r>
    <r>
      <rPr>
        <sz val="8"/>
        <color rgb="FF595959"/>
        <rFont val="Arial"/>
        <family val="2"/>
        <charset val="238"/>
      </rPr>
      <t xml:space="preserve"> </t>
    </r>
  </si>
  <si>
    <r>
      <rPr>
        <b/>
        <sz val="8"/>
        <color rgb="FF000000"/>
        <rFont val="Arial"/>
        <family val="2"/>
        <charset val="238"/>
      </rPr>
      <t>MISTRZOSTWA ŚWIATA 2023</t>
    </r>
    <r>
      <rPr>
        <b/>
        <vertAlign val="superscript"/>
        <sz val="8"/>
        <color rgb="FF000000"/>
        <rFont val="Arial"/>
        <family val="2"/>
        <charset val="238"/>
      </rPr>
      <t>c</t>
    </r>
    <r>
      <rPr>
        <sz val="8"/>
        <color rgb="FF000000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WORLD CHAMPIONSHIPS 2023</t>
    </r>
    <r>
      <rPr>
        <vertAlign val="superscript"/>
        <sz val="8"/>
        <color rgb="FF000000"/>
        <rFont val="Arial"/>
        <family val="2"/>
        <charset val="238"/>
      </rPr>
      <t>c</t>
    </r>
  </si>
  <si>
    <t>a Łącznie juniorzy i młodzieżowcy. b Obejmuje żeglarstwo regatowe, deskowe, lodowe i kitesurfing. c W sportach nadzorowanych przez związki sportowe posiadające status polskiego związku sportowego. Wykaz polskich związków sportowych ogłaszany jest przez ministra właściwego do spraw kultury fizycznej zgodnie z art. 11 ust. 5 ustawy z dnia 25 czerwca 2010 r. o sporcie - (Dz.U. 2024, poz. 1488). W opracowaniu ujęto polskie związki sportowe, które złożyły sprawozdanie.</t>
  </si>
  <si>
    <r>
      <t>a Including  juniors and young competitors.</t>
    </r>
    <r>
      <rPr>
        <sz val="8"/>
        <color rgb="FFFF0000"/>
        <rFont val="Arial"/>
        <family val="2"/>
        <charset val="238"/>
      </rPr>
      <t>.</t>
    </r>
    <r>
      <rPr>
        <sz val="8"/>
        <color theme="1" tint="0.34998626667073579"/>
        <rFont val="Arial"/>
        <family val="2"/>
        <charset val="238"/>
      </rPr>
      <t>b Include race sailing, windsurfing, ice yachting and kitesurfing</t>
    </r>
    <r>
      <rPr>
        <sz val="8"/>
        <color rgb="FFFF0000"/>
        <rFont val="Arial"/>
        <family val="2"/>
        <charset val="238"/>
      </rPr>
      <t>.</t>
    </r>
    <r>
      <rPr>
        <sz val="8"/>
        <color theme="1" tint="0.34998626667073579"/>
        <rFont val="Arial"/>
        <family val="2"/>
        <charset val="238"/>
      </rPr>
      <t xml:space="preserve"> c In sports supervised by sports associations with the status of a Polish sports association. The list of Polish sports associations, announced by the Minister competent for Physical Education, pursuant to Art. 11 paragraphy 5 of the Act of 25 June 2010 on Sport (Journal of  Laws 2024 item 1488). The study includes the Polish sports associations that submitted the report. </t>
    </r>
  </si>
  <si>
    <r>
      <t>a Osoba ćwicząca wykazywana jest tyle razy, w ilu rodzajach sportów występuje. b Łącznie z karate tradycyjnym. c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Łącznie z piłką nożną halową i piłką nożną plażową. d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Łącznie z piłką siatkową plażową. e Sędziowie mogą być wykazani wielokrotnie, jeżeli posiadają licencję w kilku sportach nadzorowanych przez jeden związek sportowy. </t>
    </r>
  </si>
  <si>
    <t>TABL. 5.  SEKCJE, CZŁONKOWIE I ĆWICZĄCY W KLUBACH SPORTOWYCH KRAJOWEGO ZRZESZENIA LUDOWE
                ZESPOŁY SPORTOWE WEDŁUG WOJEWÓDZTW W 2024 R.</t>
  </si>
  <si>
    <r>
      <t>POLSKA</t>
    </r>
    <r>
      <rPr>
        <sz val="8"/>
        <rFont val="Arial"/>
        <family val="2"/>
        <charset val="238"/>
      </rPr>
      <t xml:space="preserve">                               2022
</t>
    </r>
    <r>
      <rPr>
        <sz val="8"/>
        <color theme="1" tint="0.34998626667073579"/>
        <rFont val="Arial"/>
        <family val="2"/>
        <charset val="238"/>
      </rPr>
      <t xml:space="preserve">POLAND </t>
    </r>
    <r>
      <rPr>
        <b/>
        <sz val="8"/>
        <color theme="1" tint="0.34998626667073579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</t>
    </r>
  </si>
  <si>
    <r>
      <t>a Osoba ćwicząca wykazywana jest tyle razy, w ilu rodzajach sportów występuje. b Łącznie z karate tradycyjnym. c Bez piłki nożnej halowej i bez piłki nożnej plażowej. d Bez piłki siatkowej plażowej. e Dotyczy fitness, kulturystyki i trójboju siłowego. f</t>
    </r>
    <r>
      <rPr>
        <sz val="8"/>
        <color theme="1"/>
        <rFont val="Arial"/>
        <family val="2"/>
        <charset val="238"/>
      </rPr>
      <t xml:space="preserve"> Dotyczy tańca sportowego 
i towarzyskiego. g</t>
    </r>
    <r>
      <rPr>
        <sz val="8"/>
        <rFont val="Arial"/>
        <family val="2"/>
        <charset val="238"/>
      </rPr>
      <t xml:space="preserve"> Dotyczy żeglarstwa regatowego.</t>
    </r>
  </si>
  <si>
    <t>TABL. 12.   SEKCJE I ĆWICZĄCY W KLUBACH SPORTOWYCH KRAJOWEGO ZRZESZENIA LUDOWE 
                  ZESPOŁY SPORTOWE WEDŁUG WYBRANYCH RODZAJÓW SPORTÓW W 2024 R.</t>
  </si>
  <si>
    <t>SECTIONS AND PERSONS PRACTISING SPORTS IN SPORTS CLUBS OF RURAL SPORTS TEAMS NATIONAL ASSOCIATION BY SELECTED KINDS OF SPORTS IN 2024</t>
  </si>
  <si>
    <t>SEKCJE I ĆWICZĄCY W KLUBACH SPORTOWYCH KRAJOWEGO ZRZESZENIA LUDOWE ZESPOŁY SPORTOWE WEDŁUG WYBRANYCH RODZAJÓW SPORTÓW W 2024 R.</t>
  </si>
  <si>
    <r>
      <t xml:space="preserve">POLSKA                         </t>
    </r>
    <r>
      <rPr>
        <sz val="8"/>
        <rFont val="Arial"/>
        <family val="2"/>
        <charset val="238"/>
      </rPr>
      <t>2022</t>
    </r>
    <r>
      <rPr>
        <b/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POLAND</t>
    </r>
    <r>
      <rPr>
        <b/>
        <sz val="8"/>
        <rFont val="Arial"/>
        <family val="2"/>
        <charset val="238"/>
      </rPr>
      <t xml:space="preserve">       </t>
    </r>
  </si>
  <si>
    <r>
      <t>POLSKA</t>
    </r>
    <r>
      <rPr>
        <sz val="8"/>
        <rFont val="Arial"/>
        <family val="2"/>
        <charset val="238"/>
      </rPr>
      <t xml:space="preserve">                                2022
</t>
    </r>
    <r>
      <rPr>
        <sz val="8"/>
        <color theme="1" tint="0.34998626667073579"/>
        <rFont val="Arial"/>
        <family val="2"/>
        <charset val="238"/>
      </rPr>
      <t xml:space="preserve">POLAND    </t>
    </r>
    <r>
      <rPr>
        <sz val="8"/>
        <rFont val="Arial"/>
        <family val="2"/>
        <charset val="238"/>
      </rPr>
      <t xml:space="preserve">                    </t>
    </r>
    <r>
      <rPr>
        <b/>
        <sz val="8"/>
        <rFont val="Arial"/>
        <family val="2"/>
        <charset val="238"/>
      </rPr>
      <t xml:space="preserve">      </t>
    </r>
  </si>
  <si>
    <t xml:space="preserve">a Wykaz polskich związków sportowych ogłaszany jest przez ministra właściwego do spraw kultury fizycznej zgodnie z art. 11 ust. 5 ustawy z dnia 25 czerwca 2010 r. o sporcie (Dz. U z 2024, poz. 1488). </t>
  </si>
  <si>
    <r>
      <rPr>
        <b/>
        <sz val="8"/>
        <rFont val="Arial"/>
        <family val="2"/>
        <charset val="238"/>
      </rPr>
      <t>MISTRZOSTWA ŚWIATA 2024</t>
    </r>
    <r>
      <rPr>
        <b/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WORLD CHAMPIONSHIPS 2024</t>
    </r>
    <r>
      <rPr>
        <vertAlign val="superscript"/>
        <sz val="8"/>
        <color rgb="FF595959"/>
        <rFont val="Arial"/>
        <family val="2"/>
        <charset val="238"/>
      </rPr>
      <t>c</t>
    </r>
  </si>
  <si>
    <r>
      <t xml:space="preserve">POLSKA
</t>
    </r>
    <r>
      <rPr>
        <sz val="8"/>
        <color theme="1" tint="0.34998626667073579"/>
        <rFont val="Arial"/>
        <family val="2"/>
        <charset val="238"/>
      </rPr>
      <t>POLAND</t>
    </r>
    <r>
      <rPr>
        <b/>
        <sz val="8"/>
        <color theme="1" tint="0.34998626667073579"/>
        <rFont val="Arial"/>
        <family val="2"/>
        <charset val="238"/>
      </rPr>
      <t xml:space="preserve">  </t>
    </r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</si>
  <si>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 xml:space="preserve">TOTAL </t>
    </r>
  </si>
  <si>
    <r>
      <t xml:space="preserve">POLSKA
</t>
    </r>
    <r>
      <rPr>
        <sz val="8"/>
        <color theme="1" tint="0.34998626667073579"/>
        <rFont val="Arial"/>
        <family val="2"/>
        <charset val="238"/>
      </rPr>
      <t>POLAND</t>
    </r>
    <r>
      <rPr>
        <sz val="8"/>
        <rFont val="Arial"/>
        <family val="2"/>
        <charset val="238"/>
      </rPr>
      <t xml:space="preserve">  </t>
    </r>
  </si>
  <si>
    <r>
      <rPr>
        <b/>
        <sz val="8"/>
        <rFont val="Arial"/>
        <family val="2"/>
        <charset val="238"/>
      </rPr>
      <t>OGÓŁEM</t>
    </r>
    <r>
      <rPr>
        <b/>
        <sz val="8"/>
        <color rgb="FF595959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</si>
  <si>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</si>
  <si>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</si>
  <si>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 xml:space="preserve">OGÓŁEM  </t>
    </r>
    <r>
      <rPr>
        <sz val="8"/>
        <color theme="1"/>
        <rFont val="Arial"/>
        <family val="2"/>
        <charset val="238"/>
      </rPr>
      <t xml:space="preserve">         2022
</t>
    </r>
    <r>
      <rPr>
        <sz val="8"/>
        <color theme="1" tint="0.34998626667073579"/>
        <rFont val="Arial"/>
        <family val="2"/>
        <charset val="238"/>
      </rPr>
      <t>TOTAL</t>
    </r>
  </si>
  <si>
    <t>PARTICIPATION OF POLISH COMPETITORS AT THE XXXIII PARIS 2024 OLYMPIC GAMES</t>
  </si>
  <si>
    <t xml:space="preserve">                  SECTIONS AND PERSONS PRACTISING SPORTS IN SPORTS CLUBS OF  
                  RURAL SPORTS TEAMS NATIONAL ASSOCIATION BY SELECTED KINDS OF SPORTS
                  IN 2024</t>
  </si>
  <si>
    <r>
      <rPr>
        <b/>
        <sz val="8"/>
        <rFont val="Arial"/>
        <family val="2"/>
        <charset val="238"/>
      </rPr>
      <t>MISTRZOSTWA EUROPY 2023</t>
    </r>
    <r>
      <rPr>
        <b/>
        <vertAlign val="superscript"/>
        <sz val="8"/>
        <rFont val="Arial"/>
        <family val="2"/>
        <charset val="238"/>
      </rPr>
      <t>c</t>
    </r>
    <r>
      <rPr>
        <i/>
        <sz val="8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EUROPEAN CHAMPIONSHIPS 2023</t>
    </r>
    <r>
      <rPr>
        <vertAlign val="superscript"/>
        <sz val="8"/>
        <color rgb="FF595959"/>
        <rFont val="Arial"/>
        <family val="2"/>
        <charset val="238"/>
      </rPr>
      <t>c</t>
    </r>
  </si>
  <si>
    <r>
      <rPr>
        <b/>
        <sz val="8"/>
        <rFont val="Arial"/>
        <family val="2"/>
        <charset val="238"/>
      </rPr>
      <t>MISTRZOSTWA EUROPY 2024</t>
    </r>
    <r>
      <rPr>
        <b/>
        <vertAlign val="superscript"/>
        <sz val="8"/>
        <rFont val="Arial"/>
        <family val="2"/>
        <charset val="238"/>
      </rPr>
      <t>c</t>
    </r>
    <r>
      <rPr>
        <i/>
        <sz val="8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EUROPEAN CHAMPIONSHIPS 2024</t>
    </r>
    <r>
      <rPr>
        <vertAlign val="superscript"/>
        <sz val="8"/>
        <color rgb="FF595959"/>
        <rFont val="Arial"/>
        <family val="2"/>
        <charset val="238"/>
      </rPr>
      <t>c</t>
    </r>
  </si>
  <si>
    <r>
      <t xml:space="preserve">MISTRZOSTWA ŚWIATA 2023
</t>
    </r>
    <r>
      <rPr>
        <sz val="8"/>
        <color rgb="FF595959"/>
        <rFont val="Arial"/>
        <family val="2"/>
        <charset val="238"/>
      </rPr>
      <t>WORLD CHAMPIONSHIPS 2023</t>
    </r>
  </si>
  <si>
    <r>
      <t xml:space="preserve">MISTRZOSTWA ŚWIATA 2024
</t>
    </r>
    <r>
      <rPr>
        <sz val="8"/>
        <color rgb="FF595959"/>
        <rFont val="Arial"/>
        <family val="2"/>
        <charset val="238"/>
      </rPr>
      <t>WORLD CHAMPIONSHIPS 2024</t>
    </r>
  </si>
  <si>
    <r>
      <t xml:space="preserve">Golf
</t>
    </r>
    <r>
      <rPr>
        <sz val="8"/>
        <color rgb="FF757171"/>
        <rFont val="Arial"/>
        <family val="2"/>
        <charset val="238"/>
      </rPr>
      <t>Golf</t>
    </r>
  </si>
  <si>
    <r>
      <t xml:space="preserve">Jeździectwo
</t>
    </r>
    <r>
      <rPr>
        <sz val="8"/>
        <color rgb="FF757171"/>
        <rFont val="Arial"/>
        <family val="2"/>
        <charset val="238"/>
      </rPr>
      <t>Equestrian</t>
    </r>
  </si>
  <si>
    <r>
      <t xml:space="preserve">Judo
</t>
    </r>
    <r>
      <rPr>
        <sz val="8"/>
        <color rgb="FF757171"/>
        <rFont val="Arial"/>
        <family val="2"/>
        <charset val="238"/>
      </rPr>
      <t>Judo</t>
    </r>
  </si>
  <si>
    <r>
      <t xml:space="preserve">Kajakarstwo, sprint
</t>
    </r>
    <r>
      <rPr>
        <sz val="8"/>
        <color rgb="FF757171"/>
        <rFont val="Arial"/>
        <family val="2"/>
        <charset val="238"/>
      </rPr>
      <t>Canoe, sprint</t>
    </r>
  </si>
  <si>
    <r>
      <t xml:space="preserve">Kolarstwo górskie
</t>
    </r>
    <r>
      <rPr>
        <sz val="8"/>
        <color rgb="FF757171"/>
        <rFont val="Arial"/>
        <family val="2"/>
        <charset val="238"/>
      </rPr>
      <t>Cycling mountain bike</t>
    </r>
  </si>
  <si>
    <r>
      <t xml:space="preserve">Liczba zawodników     z Polski 
</t>
    </r>
    <r>
      <rPr>
        <sz val="8"/>
        <color rgb="FF757171"/>
        <rFont val="Arial"/>
        <family val="2"/>
        <charset val="238"/>
      </rPr>
      <t>Participation of Polish competitors</t>
    </r>
    <r>
      <rPr>
        <sz val="8"/>
        <color rgb="FF000000"/>
        <rFont val="Arial"/>
        <family val="2"/>
        <charset val="238"/>
      </rPr>
      <t xml:space="preserve">
</t>
    </r>
  </si>
  <si>
    <r>
      <t xml:space="preserve">ogółem
</t>
    </r>
    <r>
      <rPr>
        <sz val="8"/>
        <color rgb="FF757171"/>
        <rFont val="Arial"/>
        <family val="2"/>
        <charset val="238"/>
      </rPr>
      <t>total</t>
    </r>
    <r>
      <rPr>
        <sz val="8"/>
        <color theme="1"/>
        <rFont val="Arial"/>
        <family val="2"/>
        <charset val="238"/>
      </rPr>
      <t xml:space="preserve">            </t>
    </r>
  </si>
  <si>
    <r>
      <t xml:space="preserve">w tym z udziałem zawodników polskich
</t>
    </r>
    <r>
      <rPr>
        <sz val="8"/>
        <color rgb="FF757171"/>
        <rFont val="Arial"/>
        <family val="2"/>
        <charset val="238"/>
      </rPr>
      <t>of which with participation of Polish competitors</t>
    </r>
  </si>
  <si>
    <r>
      <t xml:space="preserve">Kolarstwo szosowe
</t>
    </r>
    <r>
      <rPr>
        <sz val="8"/>
        <color rgb="FF757171"/>
        <rFont val="Arial"/>
        <family val="2"/>
        <charset val="238"/>
      </rPr>
      <t>Cycling road</t>
    </r>
  </si>
  <si>
    <r>
      <t xml:space="preserve">Koszykówka 3×3
</t>
    </r>
    <r>
      <rPr>
        <sz val="8"/>
        <color rgb="FF757171"/>
        <rFont val="Arial"/>
        <family val="2"/>
        <charset val="238"/>
      </rPr>
      <t>Basketball 3×3</t>
    </r>
  </si>
  <si>
    <r>
      <t xml:space="preserve">Łucznictwo
</t>
    </r>
    <r>
      <rPr>
        <sz val="8"/>
        <color rgb="FF757171"/>
        <rFont val="Arial"/>
        <family val="2"/>
        <charset val="238"/>
      </rPr>
      <t>Archery</t>
    </r>
  </si>
  <si>
    <r>
      <t xml:space="preserve">Pięciobój nowoczesny
</t>
    </r>
    <r>
      <rPr>
        <sz val="8"/>
        <color rgb="FF757171"/>
        <rFont val="Arial"/>
        <family val="2"/>
        <charset val="238"/>
      </rPr>
      <t>Modern Pentathlon</t>
    </r>
  </si>
  <si>
    <r>
      <t xml:space="preserve">Piłka siatkowa plażowa
</t>
    </r>
    <r>
      <rPr>
        <sz val="8"/>
        <color rgb="FF757171"/>
        <rFont val="Arial"/>
        <family val="2"/>
        <charset val="238"/>
      </rPr>
      <t>Beach Volleyball</t>
    </r>
  </si>
  <si>
    <r>
      <t xml:space="preserve">Pływanie
</t>
    </r>
    <r>
      <rPr>
        <sz val="8"/>
        <color rgb="FF757171"/>
        <rFont val="Arial"/>
        <family val="2"/>
        <charset val="238"/>
      </rPr>
      <t>Swimming</t>
    </r>
  </si>
  <si>
    <r>
      <t xml:space="preserve">Maraton pływacki
</t>
    </r>
    <r>
      <rPr>
        <sz val="8"/>
        <color rgb="FF757171"/>
        <rFont val="Arial"/>
        <family val="2"/>
        <charset val="238"/>
      </rPr>
      <t>Marathon Swimming</t>
    </r>
  </si>
  <si>
    <r>
      <t xml:space="preserve">Podnoszenie ciężarów
</t>
    </r>
    <r>
      <rPr>
        <sz val="8"/>
        <color rgb="FF757171"/>
        <rFont val="Arial"/>
        <family val="2"/>
        <charset val="238"/>
      </rPr>
      <t>Weightlifting</t>
    </r>
  </si>
  <si>
    <r>
      <t xml:space="preserve">Skoki do wody
</t>
    </r>
    <r>
      <rPr>
        <sz val="8"/>
        <color rgb="FF757171"/>
        <rFont val="Arial"/>
        <family val="2"/>
        <charset val="238"/>
      </rPr>
      <t>Diving</t>
    </r>
  </si>
  <si>
    <r>
      <t xml:space="preserve">Strzelectwo sportowe
</t>
    </r>
    <r>
      <rPr>
        <sz val="8"/>
        <color rgb="FF757171"/>
        <rFont val="Arial"/>
        <family val="2"/>
        <charset val="238"/>
      </rPr>
      <t xml:space="preserve">Sport Shooting </t>
    </r>
  </si>
  <si>
    <r>
      <t xml:space="preserve">Tenis stołowy
</t>
    </r>
    <r>
      <rPr>
        <sz val="8"/>
        <color rgb="FF757171"/>
        <rFont val="Arial"/>
        <family val="2"/>
        <charset val="238"/>
      </rPr>
      <t xml:space="preserve">Table Tennis </t>
    </r>
  </si>
  <si>
    <r>
      <t xml:space="preserve">Triathlon
</t>
    </r>
    <r>
      <rPr>
        <sz val="8"/>
        <color rgb="FF757171"/>
        <rFont val="Arial"/>
        <family val="2"/>
        <charset val="238"/>
      </rPr>
      <t>Triathlon</t>
    </r>
  </si>
  <si>
    <r>
      <t xml:space="preserve">Zapasy
</t>
    </r>
    <r>
      <rPr>
        <sz val="8"/>
        <color rgb="FF757171"/>
        <rFont val="Arial"/>
        <family val="2"/>
        <charset val="238"/>
      </rPr>
      <t>Wrestling</t>
    </r>
  </si>
  <si>
    <r>
      <t xml:space="preserve">Żeglarstwo
</t>
    </r>
    <r>
      <rPr>
        <sz val="8"/>
        <color rgb="FF757171"/>
        <rFont val="Arial"/>
        <family val="2"/>
        <charset val="238"/>
      </rPr>
      <t>Sailing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</si>
</sst>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_-* #,##0\ _z_ł_-;\-* #,##0\ _z_ł_-;_-* &quot;-&quot;??\ _z_ł_-;_-@_-"/>
    <numFmt numFmtId="166" formatCode="0.0"/>
  </numFmts>
  <fonts count="7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59595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8"/>
      <color rgb="FF595959"/>
      <name val="Arial"/>
      <family val="2"/>
      <charset val="238"/>
    </font>
    <font>
      <vertAlign val="superscript"/>
      <sz val="8"/>
      <color rgb="FF595959"/>
      <name val="Arial"/>
      <family val="2"/>
      <charset val="238"/>
    </font>
    <font>
      <sz val="8"/>
      <color rgb="FF00B0F0"/>
      <name val="Arial"/>
      <family val="2"/>
      <charset val="238"/>
    </font>
    <font>
      <i/>
      <sz val="8.5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rgb="FF4D4D4D"/>
      <name val="Arial"/>
      <family val="2"/>
      <charset val="238"/>
    </font>
    <font>
      <sz val="10"/>
      <color rgb="FF595959"/>
      <name val="Arial"/>
      <family val="2"/>
      <charset val="238"/>
    </font>
    <font>
      <b/>
      <sz val="12"/>
      <name val="Arial"/>
      <family val="2"/>
      <charset val="238"/>
    </font>
    <font>
      <sz val="12"/>
      <color rgb="FF4D4D4D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sz val="9"/>
      <name val="Calibri"/>
      <family val="2"/>
      <charset val="238"/>
      <scheme val="minor"/>
    </font>
    <font>
      <b/>
      <vertAlign val="superscript"/>
      <sz val="8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sz val="8"/>
      <color theme="2" tint="-0.499984740745262"/>
      <name val="Arial"/>
      <family val="2"/>
      <charset val="238"/>
    </font>
    <font>
      <sz val="8"/>
      <name val="Arial"/>
      <family val="2"/>
    </font>
    <font>
      <sz val="11"/>
      <color theme="2" tint="-0.499984740745262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8"/>
      <color theme="2" tint="-0.49998474074526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color rgb="FF757171"/>
      <name val="Arial"/>
      <family val="2"/>
      <charset val="238"/>
    </font>
    <font>
      <b/>
      <sz val="11"/>
      <name val="Calibri"/>
      <family val="2"/>
      <charset val="238"/>
      <scheme val="minor"/>
    </font>
    <font>
      <u/>
      <sz val="10"/>
      <color rgb="FF0563C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rgb="FFD9D9D9"/>
      </bottom>
      <diagonal/>
    </border>
    <border>
      <left style="thin">
        <color indexed="64"/>
      </left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indexed="64"/>
      </left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indexed="64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indexed="8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indexed="8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theme="2" tint="-9.9978637043366805E-2"/>
      </right>
      <top style="thin">
        <color rgb="FFD9D9D9"/>
      </top>
      <bottom style="thin">
        <color rgb="FFD9D9D9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/>
      <diagonal/>
    </border>
    <border>
      <left style="thin">
        <color indexed="64"/>
      </left>
      <right/>
      <top style="thin">
        <color theme="2" tint="-9.9978637043366805E-2"/>
      </top>
      <bottom/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indexed="64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 style="thin">
        <color theme="1"/>
      </right>
      <top style="thin">
        <color theme="2" tint="-9.9978637043366805E-2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2" fillId="0" borderId="0"/>
    <xf numFmtId="43" fontId="63" fillId="0" borderId="0" applyFont="0" applyFill="0" applyBorder="0" applyAlignment="0" applyProtection="0"/>
    <xf numFmtId="0" fontId="65" fillId="0" borderId="0"/>
    <xf numFmtId="0" fontId="32" fillId="0" borderId="0"/>
    <xf numFmtId="0" fontId="65" fillId="0" borderId="0"/>
    <xf numFmtId="0" fontId="66" fillId="0" borderId="0"/>
    <xf numFmtId="43" fontId="67" fillId="0" borderId="0" applyFont="0" applyFill="0" applyBorder="0" applyAlignment="0" applyProtection="0"/>
  </cellStyleXfs>
  <cellXfs count="659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 indent="1"/>
    </xf>
    <xf numFmtId="0" fontId="4" fillId="0" borderId="0" xfId="0" applyFont="1" applyFill="1" applyBorder="1"/>
    <xf numFmtId="0" fontId="7" fillId="0" borderId="0" xfId="1" applyFont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/>
    <xf numFmtId="0" fontId="8" fillId="0" borderId="1" xfId="1" applyFont="1" applyBorder="1"/>
    <xf numFmtId="0" fontId="8" fillId="0" borderId="1" xfId="0" applyFont="1" applyBorder="1"/>
    <xf numFmtId="0" fontId="3" fillId="0" borderId="0" xfId="0" applyFont="1"/>
    <xf numFmtId="0" fontId="13" fillId="0" borderId="0" xfId="0" applyFont="1"/>
    <xf numFmtId="0" fontId="12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left" indent="10"/>
    </xf>
    <xf numFmtId="0" fontId="13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indent="8"/>
    </xf>
    <xf numFmtId="0" fontId="14" fillId="0" borderId="0" xfId="0" applyNumberFormat="1" applyFont="1" applyBorder="1" applyAlignment="1">
      <alignment vertical="center"/>
    </xf>
    <xf numFmtId="0" fontId="11" fillId="0" borderId="0" xfId="0" applyNumberFormat="1" applyFont="1" applyBorder="1"/>
    <xf numFmtId="0" fontId="11" fillId="0" borderId="0" xfId="0" applyNumberFormat="1" applyFont="1"/>
    <xf numFmtId="0" fontId="10" fillId="0" borderId="0" xfId="0" applyNumberFormat="1" applyFont="1" applyBorder="1" applyAlignment="1"/>
    <xf numFmtId="0" fontId="10" fillId="0" borderId="0" xfId="0" applyNumberFormat="1" applyFont="1" applyBorder="1"/>
    <xf numFmtId="0" fontId="16" fillId="0" borderId="4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/>
    <xf numFmtId="0" fontId="16" fillId="0" borderId="0" xfId="0" applyFont="1" applyBorder="1" applyAlignment="1">
      <alignment vertical="top" wrapText="1"/>
    </xf>
    <xf numFmtId="0" fontId="18" fillId="0" borderId="2" xfId="0" applyFont="1" applyBorder="1" applyAlignment="1">
      <alignment horizontal="right" vertical="top" indent="1"/>
    </xf>
    <xf numFmtId="0" fontId="22" fillId="0" borderId="0" xfId="0" applyFont="1" applyBorder="1"/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left" vertical="top" wrapText="1" indent="2"/>
    </xf>
    <xf numFmtId="0" fontId="18" fillId="0" borderId="0" xfId="0" applyFont="1" applyFill="1" applyBorder="1" applyAlignment="1">
      <alignment horizontal="left" vertical="top" wrapText="1" indent="2"/>
    </xf>
    <xf numFmtId="0" fontId="18" fillId="0" borderId="2" xfId="0" applyFont="1" applyFill="1" applyBorder="1" applyAlignment="1">
      <alignment horizontal="right" vertical="top" indent="1"/>
    </xf>
    <xf numFmtId="0" fontId="18" fillId="0" borderId="0" xfId="0" applyFont="1" applyBorder="1" applyAlignment="1">
      <alignment horizontal="left" vertical="top" wrapText="1"/>
    </xf>
    <xf numFmtId="0" fontId="8" fillId="0" borderId="0" xfId="0" applyFont="1" applyFill="1"/>
    <xf numFmtId="0" fontId="27" fillId="0" borderId="0" xfId="0" applyFont="1" applyFill="1"/>
    <xf numFmtId="0" fontId="21" fillId="0" borderId="0" xfId="0" applyFont="1" applyFill="1"/>
    <xf numFmtId="0" fontId="10" fillId="0" borderId="0" xfId="0" applyFont="1" applyFill="1"/>
    <xf numFmtId="0" fontId="2" fillId="0" borderId="0" xfId="1" applyBorder="1" applyAlignment="1">
      <alignment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22" fillId="0" borderId="0" xfId="0" applyFont="1" applyFill="1"/>
    <xf numFmtId="0" fontId="8" fillId="0" borderId="0" xfId="0" applyFont="1" applyFill="1" applyAlignment="1">
      <alignment vertical="center"/>
    </xf>
    <xf numFmtId="0" fontId="30" fillId="0" borderId="0" xfId="0" applyFont="1" applyFill="1"/>
    <xf numFmtId="0" fontId="21" fillId="0" borderId="2" xfId="0" applyFont="1" applyFill="1" applyBorder="1" applyAlignment="1">
      <alignment horizontal="right" vertical="top" indent="1"/>
    </xf>
    <xf numFmtId="0" fontId="28" fillId="0" borderId="0" xfId="0" applyFont="1" applyFill="1" applyBorder="1" applyAlignment="1">
      <alignment horizontal="right" vertical="top" wrapText="1" indent="1"/>
    </xf>
    <xf numFmtId="0" fontId="21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8" fillId="0" borderId="0" xfId="0" applyFont="1" applyFill="1" applyAlignment="1">
      <alignment horizontal="left" wrapText="1"/>
    </xf>
    <xf numFmtId="0" fontId="30" fillId="0" borderId="0" xfId="0" applyFont="1" applyFill="1" applyBorder="1"/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9" fillId="0" borderId="0" xfId="0" applyFont="1" applyFill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indent="1"/>
    </xf>
    <xf numFmtId="0" fontId="34" fillId="0" borderId="0" xfId="1" applyFont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Border="1" applyAlignment="1">
      <alignment horizontal="left" indent="1"/>
    </xf>
    <xf numFmtId="0" fontId="8" fillId="0" borderId="0" xfId="0" applyFont="1"/>
    <xf numFmtId="0" fontId="3" fillId="0" borderId="0" xfId="0" applyFont="1" applyFill="1"/>
    <xf numFmtId="0" fontId="11" fillId="0" borderId="0" xfId="0" applyFont="1"/>
    <xf numFmtId="0" fontId="10" fillId="0" borderId="0" xfId="0" applyFont="1" applyFill="1" applyBorder="1" applyAlignment="1">
      <alignment horizontal="left" wrapText="1"/>
    </xf>
    <xf numFmtId="0" fontId="21" fillId="0" borderId="0" xfId="0" applyFont="1" applyFill="1" applyProtection="1"/>
    <xf numFmtId="0" fontId="28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/>
    <xf numFmtId="0" fontId="21" fillId="0" borderId="0" xfId="0" applyFont="1" applyFill="1" applyBorder="1" applyAlignment="1">
      <alignment horizontal="left" vertical="top" wrapText="1" indent="1"/>
    </xf>
    <xf numFmtId="0" fontId="21" fillId="0" borderId="0" xfId="0" applyFont="1" applyFill="1" applyAlignment="1">
      <alignment horizontal="left" indent="2"/>
    </xf>
    <xf numFmtId="0" fontId="20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 indent="1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wrapText="1"/>
    </xf>
    <xf numFmtId="0" fontId="30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33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22" fillId="0" borderId="0" xfId="0" applyFont="1" applyFill="1" applyProtection="1"/>
    <xf numFmtId="0" fontId="21" fillId="0" borderId="0" xfId="0" applyFont="1" applyFill="1" applyBorder="1" applyAlignment="1">
      <alignment horizontal="left" wrapText="1" indent="2"/>
    </xf>
    <xf numFmtId="0" fontId="21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vertical="top" wrapText="1" indent="2"/>
    </xf>
    <xf numFmtId="0" fontId="10" fillId="0" borderId="0" xfId="0" applyFont="1" applyFill="1" applyAlignment="1">
      <alignment horizontal="left" wrapText="1"/>
    </xf>
    <xf numFmtId="0" fontId="9" fillId="0" borderId="0" xfId="0" applyFont="1"/>
    <xf numFmtId="0" fontId="18" fillId="0" borderId="0" xfId="0" applyFont="1" applyAlignment="1">
      <alignment horizontal="left" indent="2"/>
    </xf>
    <xf numFmtId="0" fontId="18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wrapText="1" indent="1"/>
    </xf>
    <xf numFmtId="0" fontId="22" fillId="0" borderId="0" xfId="0" applyFont="1"/>
    <xf numFmtId="0" fontId="36" fillId="0" borderId="0" xfId="0" applyFont="1"/>
    <xf numFmtId="0" fontId="29" fillId="0" borderId="2" xfId="0" applyFont="1" applyBorder="1" applyAlignment="1">
      <alignment horizontal="right" vertical="top" inden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wrapText="1"/>
    </xf>
    <xf numFmtId="0" fontId="30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21" fillId="0" borderId="0" xfId="0" applyFont="1" applyFill="1" applyAlignment="1">
      <alignment horizontal="right" vertical="center" indent="1"/>
    </xf>
    <xf numFmtId="0" fontId="10" fillId="0" borderId="0" xfId="0" applyFont="1" applyFill="1" applyBorder="1" applyAlignment="1">
      <alignment horizontal="right" vertical="center" wrapText="1" indent="1"/>
    </xf>
    <xf numFmtId="0" fontId="21" fillId="0" borderId="0" xfId="0" applyFont="1" applyFill="1" applyBorder="1" applyAlignment="1">
      <alignment horizontal="right" vertical="top" wrapText="1" indent="1"/>
    </xf>
    <xf numFmtId="0" fontId="21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Protection="1"/>
    <xf numFmtId="0" fontId="8" fillId="0" borderId="0" xfId="0" applyFont="1" applyFill="1" applyBorder="1" applyAlignment="1">
      <alignment horizontal="right" wrapText="1" inden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right" vertical="center" wrapText="1" indent="1"/>
    </xf>
    <xf numFmtId="0" fontId="30" fillId="0" borderId="0" xfId="0" applyFont="1" applyFill="1" applyAlignment="1">
      <alignment horizontal="right" indent="1"/>
    </xf>
    <xf numFmtId="0" fontId="28" fillId="0" borderId="0" xfId="0" applyFont="1" applyFill="1" applyBorder="1" applyAlignment="1">
      <alignment horizontal="left" vertical="top" wrapText="1" indent="1"/>
    </xf>
    <xf numFmtId="0" fontId="30" fillId="0" borderId="0" xfId="0" applyFont="1" applyFill="1" applyAlignment="1">
      <alignment horizontal="right"/>
    </xf>
    <xf numFmtId="0" fontId="21" fillId="0" borderId="1" xfId="0" applyFont="1" applyFill="1" applyBorder="1" applyAlignment="1">
      <alignment horizontal="right" vertical="top" wrapText="1" indent="1"/>
    </xf>
    <xf numFmtId="164" fontId="18" fillId="0" borderId="2" xfId="0" applyNumberFormat="1" applyFont="1" applyBorder="1" applyAlignment="1">
      <alignment horizontal="right" vertical="top" indent="1"/>
    </xf>
    <xf numFmtId="164" fontId="21" fillId="0" borderId="2" xfId="0" applyNumberFormat="1" applyFont="1" applyFill="1" applyBorder="1" applyAlignment="1">
      <alignment horizontal="right" vertical="top" indent="1"/>
    </xf>
    <xf numFmtId="164" fontId="30" fillId="0" borderId="0" xfId="0" applyNumberFormat="1" applyFont="1" applyFill="1"/>
    <xf numFmtId="164" fontId="21" fillId="0" borderId="0" xfId="0" applyNumberFormat="1" applyFont="1" applyFill="1"/>
    <xf numFmtId="164" fontId="21" fillId="0" borderId="7" xfId="0" applyNumberFormat="1" applyFont="1" applyFill="1" applyBorder="1" applyAlignment="1">
      <alignment horizontal="right" vertical="top" indent="1"/>
    </xf>
    <xf numFmtId="164" fontId="21" fillId="0" borderId="0" xfId="0" applyNumberFormat="1" applyFont="1" applyFill="1" applyAlignment="1">
      <alignment horizontal="right" vertical="top" indent="1"/>
    </xf>
    <xf numFmtId="0" fontId="21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top" wrapText="1" indent="1"/>
    </xf>
    <xf numFmtId="0" fontId="18" fillId="0" borderId="0" xfId="0" applyFont="1" applyFill="1"/>
    <xf numFmtId="49" fontId="21" fillId="0" borderId="0" xfId="0" applyNumberFormat="1" applyFont="1" applyFill="1"/>
    <xf numFmtId="49" fontId="21" fillId="0" borderId="0" xfId="2" applyNumberFormat="1" applyFont="1" applyFill="1" applyBorder="1" applyAlignment="1">
      <alignment horizontal="right"/>
    </xf>
    <xf numFmtId="0" fontId="10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0" fillId="0" borderId="0" xfId="0" applyFill="1"/>
    <xf numFmtId="0" fontId="36" fillId="0" borderId="0" xfId="0" applyFont="1" applyAlignment="1">
      <alignment vertical="center"/>
    </xf>
    <xf numFmtId="0" fontId="0" fillId="0" borderId="0" xfId="0" applyBorder="1"/>
    <xf numFmtId="0" fontId="1" fillId="0" borderId="0" xfId="0" applyFont="1"/>
    <xf numFmtId="0" fontId="28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1" fillId="0" borderId="2" xfId="0" applyFont="1" applyFill="1" applyBorder="1" applyAlignment="1">
      <alignment horizontal="right" vertical="top" wrapText="1" indent="1"/>
    </xf>
    <xf numFmtId="0" fontId="30" fillId="0" borderId="0" xfId="0" applyFont="1"/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top" wrapText="1"/>
    </xf>
    <xf numFmtId="0" fontId="18" fillId="0" borderId="2" xfId="0" applyFont="1" applyBorder="1" applyAlignment="1">
      <alignment horizontal="right" vertical="top" wrapText="1" indent="1"/>
    </xf>
    <xf numFmtId="0" fontId="17" fillId="0" borderId="0" xfId="0" applyFont="1" applyFill="1" applyBorder="1" applyAlignment="1">
      <alignment horizontal="left" vertical="top" wrapText="1"/>
    </xf>
    <xf numFmtId="0" fontId="41" fillId="0" borderId="0" xfId="0" applyFont="1" applyBorder="1" applyAlignment="1">
      <alignment vertical="top" wrapText="1"/>
    </xf>
    <xf numFmtId="0" fontId="43" fillId="0" borderId="0" xfId="0" applyFont="1" applyBorder="1"/>
    <xf numFmtId="0" fontId="29" fillId="0" borderId="0" xfId="0" applyFont="1" applyBorder="1" applyAlignment="1">
      <alignment vertical="top" wrapText="1"/>
    </xf>
    <xf numFmtId="0" fontId="15" fillId="0" borderId="0" xfId="1" applyFont="1" applyBorder="1" applyAlignment="1">
      <alignment wrapText="1"/>
    </xf>
    <xf numFmtId="0" fontId="11" fillId="0" borderId="0" xfId="0" applyFont="1" applyFill="1"/>
    <xf numFmtId="0" fontId="45" fillId="0" borderId="0" xfId="0" applyFont="1" applyFill="1"/>
    <xf numFmtId="0" fontId="18" fillId="0" borderId="0" xfId="0" applyFont="1" applyFill="1" applyAlignment="1" applyProtection="1">
      <alignment vertical="center"/>
    </xf>
    <xf numFmtId="0" fontId="15" fillId="0" borderId="0" xfId="1" applyFont="1" applyAlignment="1"/>
    <xf numFmtId="0" fontId="8" fillId="0" borderId="1" xfId="0" applyFont="1" applyFill="1" applyBorder="1"/>
    <xf numFmtId="0" fontId="8" fillId="0" borderId="1" xfId="1" applyFont="1" applyBorder="1" applyAlignment="1">
      <alignment vertical="center"/>
    </xf>
    <xf numFmtId="164" fontId="28" fillId="0" borderId="2" xfId="0" applyNumberFormat="1" applyFont="1" applyFill="1" applyBorder="1" applyAlignment="1">
      <alignment horizontal="right" vertical="top" indent="1"/>
    </xf>
    <xf numFmtId="164" fontId="28" fillId="0" borderId="7" xfId="0" applyNumberFormat="1" applyFont="1" applyFill="1" applyBorder="1" applyAlignment="1">
      <alignment horizontal="right" vertical="top" indent="1"/>
    </xf>
    <xf numFmtId="164" fontId="28" fillId="0" borderId="0" xfId="0" applyNumberFormat="1" applyFont="1" applyFill="1" applyAlignment="1">
      <alignment horizontal="right" vertical="top" indent="1"/>
    </xf>
    <xf numFmtId="0" fontId="28" fillId="0" borderId="0" xfId="0" applyFont="1" applyFill="1" applyBorder="1" applyAlignment="1">
      <alignment vertical="top" wrapText="1"/>
    </xf>
    <xf numFmtId="0" fontId="29" fillId="0" borderId="2" xfId="0" applyFont="1" applyFill="1" applyBorder="1" applyAlignment="1">
      <alignment horizontal="right" vertical="top" wrapText="1" indent="1"/>
    </xf>
    <xf numFmtId="0" fontId="18" fillId="0" borderId="2" xfId="0" applyFont="1" applyFill="1" applyBorder="1" applyAlignment="1">
      <alignment horizontal="right" vertical="top" wrapText="1" indent="1"/>
    </xf>
    <xf numFmtId="0" fontId="8" fillId="0" borderId="0" xfId="0" applyFont="1" applyFill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0" fillId="0" borderId="0" xfId="0" applyFont="1" applyFill="1" applyAlignment="1">
      <alignment wrapText="1"/>
    </xf>
    <xf numFmtId="3" fontId="21" fillId="0" borderId="7" xfId="0" applyNumberFormat="1" applyFont="1" applyFill="1" applyBorder="1" applyAlignment="1">
      <alignment horizontal="right" vertical="top" indent="1"/>
    </xf>
    <xf numFmtId="3" fontId="21" fillId="0" borderId="2" xfId="0" applyNumberFormat="1" applyFont="1" applyFill="1" applyBorder="1" applyAlignment="1">
      <alignment horizontal="right" vertical="top" indent="1"/>
    </xf>
    <xf numFmtId="3" fontId="29" fillId="0" borderId="7" xfId="0" applyNumberFormat="1" applyFont="1" applyFill="1" applyBorder="1" applyAlignment="1">
      <alignment horizontal="right" vertical="center" indent="1"/>
    </xf>
    <xf numFmtId="3" fontId="29" fillId="0" borderId="2" xfId="0" applyNumberFormat="1" applyFont="1" applyFill="1" applyBorder="1" applyAlignment="1">
      <alignment horizontal="right" vertical="center" indent="1"/>
    </xf>
    <xf numFmtId="3" fontId="18" fillId="0" borderId="7" xfId="0" applyNumberFormat="1" applyFont="1" applyFill="1" applyBorder="1" applyAlignment="1">
      <alignment horizontal="right" vertical="center" indent="1"/>
    </xf>
    <xf numFmtId="3" fontId="18" fillId="0" borderId="2" xfId="0" applyNumberFormat="1" applyFont="1" applyFill="1" applyBorder="1" applyAlignment="1">
      <alignment horizontal="right" vertical="center" indent="1"/>
    </xf>
    <xf numFmtId="3" fontId="21" fillId="0" borderId="7" xfId="0" applyNumberFormat="1" applyFont="1" applyFill="1" applyBorder="1" applyAlignment="1">
      <alignment horizontal="right" vertical="center" indent="1"/>
    </xf>
    <xf numFmtId="3" fontId="21" fillId="0" borderId="2" xfId="0" applyNumberFormat="1" applyFont="1" applyFill="1" applyBorder="1" applyAlignment="1">
      <alignment horizontal="right" vertical="center" indent="1"/>
    </xf>
    <xf numFmtId="3" fontId="21" fillId="0" borderId="9" xfId="0" applyNumberFormat="1" applyFont="1" applyFill="1" applyBorder="1" applyAlignment="1">
      <alignment horizontal="right" vertical="top" indent="1"/>
    </xf>
    <xf numFmtId="3" fontId="21" fillId="0" borderId="13" xfId="0" applyNumberFormat="1" applyFont="1" applyFill="1" applyBorder="1" applyAlignment="1">
      <alignment horizontal="right" vertical="top" indent="1"/>
    </xf>
    <xf numFmtId="3" fontId="18" fillId="0" borderId="9" xfId="0" applyNumberFormat="1" applyFont="1" applyFill="1" applyBorder="1" applyAlignment="1">
      <alignment horizontal="right" vertical="top" indent="1"/>
    </xf>
    <xf numFmtId="3" fontId="18" fillId="0" borderId="13" xfId="0" applyNumberFormat="1" applyFont="1" applyFill="1" applyBorder="1" applyAlignment="1">
      <alignment horizontal="right" vertical="top" indent="1"/>
    </xf>
    <xf numFmtId="3" fontId="18" fillId="0" borderId="7" xfId="0" applyNumberFormat="1" applyFont="1" applyFill="1" applyBorder="1" applyAlignment="1">
      <alignment horizontal="right" vertical="top" indent="1"/>
    </xf>
    <xf numFmtId="3" fontId="18" fillId="0" borderId="2" xfId="0" applyNumberFormat="1" applyFont="1" applyFill="1" applyBorder="1" applyAlignment="1">
      <alignment horizontal="right" vertical="top" indent="1"/>
    </xf>
    <xf numFmtId="3" fontId="29" fillId="0" borderId="7" xfId="0" applyNumberFormat="1" applyFont="1" applyFill="1" applyBorder="1" applyAlignment="1" applyProtection="1">
      <alignment horizontal="right" vertical="center" indent="1"/>
    </xf>
    <xf numFmtId="3" fontId="29" fillId="0" borderId="2" xfId="0" applyNumberFormat="1" applyFont="1" applyFill="1" applyBorder="1" applyAlignment="1" applyProtection="1">
      <alignment horizontal="right" vertical="center" indent="1"/>
    </xf>
    <xf numFmtId="3" fontId="18" fillId="0" borderId="7" xfId="0" applyNumberFormat="1" applyFont="1" applyFill="1" applyBorder="1" applyAlignment="1" applyProtection="1">
      <alignment horizontal="right" vertical="center" indent="1"/>
    </xf>
    <xf numFmtId="3" fontId="18" fillId="0" borderId="0" xfId="0" applyNumberFormat="1" applyFont="1" applyFill="1" applyBorder="1" applyAlignment="1">
      <alignment horizontal="right" vertical="center" indent="1"/>
    </xf>
    <xf numFmtId="3" fontId="18" fillId="0" borderId="2" xfId="0" applyNumberFormat="1" applyFont="1" applyFill="1" applyBorder="1" applyAlignment="1" applyProtection="1">
      <alignment horizontal="right" vertical="center" indent="1"/>
    </xf>
    <xf numFmtId="3" fontId="18" fillId="0" borderId="7" xfId="2" applyNumberFormat="1" applyFont="1" applyFill="1" applyBorder="1" applyAlignment="1">
      <alignment horizontal="right" vertical="center" indent="1"/>
    </xf>
    <xf numFmtId="3" fontId="18" fillId="0" borderId="2" xfId="2" applyNumberFormat="1" applyFont="1" applyFill="1" applyBorder="1" applyAlignment="1">
      <alignment horizontal="right" vertical="center" indent="1"/>
    </xf>
    <xf numFmtId="3" fontId="28" fillId="0" borderId="7" xfId="0" applyNumberFormat="1" applyFont="1" applyFill="1" applyBorder="1" applyAlignment="1" applyProtection="1">
      <alignment horizontal="right" vertical="center" indent="1"/>
    </xf>
    <xf numFmtId="3" fontId="21" fillId="0" borderId="7" xfId="0" applyNumberFormat="1" applyFont="1" applyFill="1" applyBorder="1" applyAlignment="1" applyProtection="1">
      <alignment horizontal="right" vertical="center" indent="1"/>
    </xf>
    <xf numFmtId="3" fontId="29" fillId="0" borderId="7" xfId="0" applyNumberFormat="1" applyFont="1" applyFill="1" applyBorder="1" applyAlignment="1">
      <alignment horizontal="right" indent="1"/>
    </xf>
    <xf numFmtId="3" fontId="29" fillId="0" borderId="2" xfId="0" applyNumberFormat="1" applyFont="1" applyFill="1" applyBorder="1" applyAlignment="1">
      <alignment horizontal="right" indent="1"/>
    </xf>
    <xf numFmtId="3" fontId="18" fillId="0" borderId="7" xfId="0" applyNumberFormat="1" applyFont="1" applyFill="1" applyBorder="1" applyAlignment="1">
      <alignment horizontal="right" indent="1"/>
    </xf>
    <xf numFmtId="3" fontId="18" fillId="0" borderId="2" xfId="0" applyNumberFormat="1" applyFont="1" applyFill="1" applyBorder="1" applyAlignment="1">
      <alignment horizontal="right" indent="1"/>
    </xf>
    <xf numFmtId="3" fontId="29" fillId="0" borderId="0" xfId="0" applyNumberFormat="1" applyFont="1" applyFill="1" applyAlignment="1" applyProtection="1">
      <alignment horizontal="right" vertical="center" indent="1"/>
    </xf>
    <xf numFmtId="3" fontId="28" fillId="0" borderId="2" xfId="0" applyNumberFormat="1" applyFont="1" applyFill="1" applyBorder="1" applyAlignment="1" applyProtection="1">
      <alignment horizontal="right" vertical="center" indent="1"/>
    </xf>
    <xf numFmtId="3" fontId="21" fillId="0" borderId="2" xfId="0" applyNumberFormat="1" applyFont="1" applyFill="1" applyBorder="1" applyAlignment="1" applyProtection="1">
      <alignment horizontal="right" vertical="center" indent="1"/>
    </xf>
    <xf numFmtId="3" fontId="21" fillId="0" borderId="7" xfId="2" applyNumberFormat="1" applyFont="1" applyFill="1" applyBorder="1" applyAlignment="1">
      <alignment horizontal="right" vertical="center" indent="1"/>
    </xf>
    <xf numFmtId="3" fontId="21" fillId="0" borderId="2" xfId="2" applyNumberFormat="1" applyFont="1" applyFill="1" applyBorder="1" applyAlignment="1">
      <alignment horizontal="right" vertical="center" indent="1"/>
    </xf>
    <xf numFmtId="3" fontId="28" fillId="0" borderId="7" xfId="0" applyNumberFormat="1" applyFont="1" applyFill="1" applyBorder="1" applyAlignment="1" applyProtection="1">
      <alignment horizontal="right" vertical="top" indent="1"/>
    </xf>
    <xf numFmtId="3" fontId="28" fillId="0" borderId="2" xfId="0" applyNumberFormat="1" applyFont="1" applyFill="1" applyBorder="1" applyAlignment="1" applyProtection="1">
      <alignment horizontal="right" vertical="top" indent="1"/>
    </xf>
    <xf numFmtId="3" fontId="21" fillId="0" borderId="7" xfId="0" applyNumberFormat="1" applyFont="1" applyFill="1" applyBorder="1" applyAlignment="1" applyProtection="1">
      <alignment horizontal="right" vertical="top" indent="1"/>
    </xf>
    <xf numFmtId="3" fontId="21" fillId="0" borderId="2" xfId="0" applyNumberFormat="1" applyFont="1" applyFill="1" applyBorder="1" applyAlignment="1" applyProtection="1">
      <alignment horizontal="right" vertical="top" indent="1"/>
    </xf>
    <xf numFmtId="3" fontId="28" fillId="0" borderId="2" xfId="0" applyNumberFormat="1" applyFont="1" applyFill="1" applyBorder="1" applyAlignment="1">
      <alignment horizontal="right" vertical="top" indent="1"/>
    </xf>
    <xf numFmtId="3" fontId="18" fillId="0" borderId="0" xfId="0" applyNumberFormat="1" applyFont="1" applyFill="1" applyBorder="1" applyAlignment="1">
      <alignment horizontal="right" vertical="top" indent="1"/>
    </xf>
    <xf numFmtId="0" fontId="18" fillId="0" borderId="6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top" wrapText="1"/>
    </xf>
    <xf numFmtId="3" fontId="21" fillId="0" borderId="9" xfId="0" applyNumberFormat="1" applyFont="1" applyFill="1" applyBorder="1" applyAlignment="1">
      <alignment horizontal="right" vertical="center" indent="1"/>
    </xf>
    <xf numFmtId="3" fontId="21" fillId="0" borderId="13" xfId="0" applyNumberFormat="1" applyFont="1" applyFill="1" applyBorder="1" applyAlignment="1">
      <alignment horizontal="right" vertical="center" indent="1"/>
    </xf>
    <xf numFmtId="3" fontId="18" fillId="0" borderId="9" xfId="0" applyNumberFormat="1" applyFont="1" applyBorder="1" applyAlignment="1">
      <alignment horizontal="right" vertical="top" indent="1"/>
    </xf>
    <xf numFmtId="3" fontId="18" fillId="0" borderId="13" xfId="0" applyNumberFormat="1" applyFont="1" applyBorder="1" applyAlignment="1">
      <alignment horizontal="right" vertical="top" indent="1"/>
    </xf>
    <xf numFmtId="3" fontId="29" fillId="0" borderId="7" xfId="0" applyNumberFormat="1" applyFont="1" applyBorder="1" applyAlignment="1">
      <alignment horizontal="right" vertical="top" indent="1"/>
    </xf>
    <xf numFmtId="3" fontId="29" fillId="0" borderId="2" xfId="0" applyNumberFormat="1" applyFont="1" applyBorder="1" applyAlignment="1">
      <alignment horizontal="right" vertical="top" indent="1"/>
    </xf>
    <xf numFmtId="3" fontId="18" fillId="0" borderId="7" xfId="0" applyNumberFormat="1" applyFont="1" applyBorder="1" applyAlignment="1">
      <alignment horizontal="right" vertical="top" indent="1"/>
    </xf>
    <xf numFmtId="3" fontId="18" fillId="0" borderId="2" xfId="0" applyNumberFormat="1" applyFont="1" applyBorder="1" applyAlignment="1">
      <alignment horizontal="right" vertical="top" indent="1"/>
    </xf>
    <xf numFmtId="3" fontId="29" fillId="0" borderId="7" xfId="0" applyNumberFormat="1" applyFont="1" applyFill="1" applyBorder="1" applyAlignment="1">
      <alignment horizontal="right" vertical="top" indent="1"/>
    </xf>
    <xf numFmtId="3" fontId="29" fillId="0" borderId="2" xfId="0" applyNumberFormat="1" applyFont="1" applyFill="1" applyBorder="1" applyAlignment="1">
      <alignment horizontal="right" vertical="top" indent="1"/>
    </xf>
    <xf numFmtId="3" fontId="28" fillId="0" borderId="2" xfId="0" applyNumberFormat="1" applyFont="1" applyFill="1" applyBorder="1" applyAlignment="1">
      <alignment horizontal="right" vertical="center" indent="1"/>
    </xf>
    <xf numFmtId="3" fontId="28" fillId="0" borderId="7" xfId="0" applyNumberFormat="1" applyFont="1" applyFill="1" applyBorder="1" applyAlignment="1">
      <alignment horizontal="right" vertical="top" indent="1"/>
    </xf>
    <xf numFmtId="3" fontId="21" fillId="0" borderId="0" xfId="0" applyNumberFormat="1" applyFont="1" applyFill="1" applyBorder="1" applyAlignment="1" applyProtection="1">
      <alignment horizontal="right" vertical="top" indent="1"/>
    </xf>
    <xf numFmtId="3" fontId="21" fillId="0" borderId="2" xfId="2" applyNumberFormat="1" applyFont="1" applyFill="1" applyBorder="1" applyAlignment="1">
      <alignment horizontal="right" vertical="top" indent="1"/>
    </xf>
    <xf numFmtId="3" fontId="28" fillId="0" borderId="7" xfId="0" applyNumberFormat="1" applyFont="1" applyFill="1" applyBorder="1" applyAlignment="1">
      <alignment horizontal="right" vertical="top" wrapText="1" indent="1"/>
    </xf>
    <xf numFmtId="3" fontId="28" fillId="0" borderId="2" xfId="0" applyNumberFormat="1" applyFont="1" applyFill="1" applyBorder="1" applyAlignment="1">
      <alignment horizontal="right" vertical="top" wrapText="1" indent="1"/>
    </xf>
    <xf numFmtId="3" fontId="21" fillId="0" borderId="7" xfId="0" applyNumberFormat="1" applyFont="1" applyFill="1" applyBorder="1" applyAlignment="1">
      <alignment horizontal="right" vertical="top" wrapText="1" indent="1"/>
    </xf>
    <xf numFmtId="3" fontId="21" fillId="0" borderId="2" xfId="0" applyNumberFormat="1" applyFont="1" applyFill="1" applyBorder="1" applyAlignment="1">
      <alignment horizontal="right" vertical="top" wrapText="1" indent="1"/>
    </xf>
    <xf numFmtId="3" fontId="21" fillId="0" borderId="7" xfId="0" applyNumberFormat="1" applyFont="1" applyBorder="1" applyAlignment="1">
      <alignment horizontal="right" vertical="top" indent="1"/>
    </xf>
    <xf numFmtId="3" fontId="21" fillId="0" borderId="2" xfId="0" applyNumberFormat="1" applyFont="1" applyBorder="1" applyAlignment="1">
      <alignment horizontal="right" vertical="top" indent="1"/>
    </xf>
    <xf numFmtId="3" fontId="28" fillId="0" borderId="2" xfId="0" applyNumberFormat="1" applyFont="1" applyBorder="1" applyAlignment="1">
      <alignment horizontal="right" vertical="top" indent="1"/>
    </xf>
    <xf numFmtId="3" fontId="28" fillId="0" borderId="9" xfId="0" applyNumberFormat="1" applyFont="1" applyFill="1" applyBorder="1" applyAlignment="1">
      <alignment horizontal="right" vertical="top" indent="1"/>
    </xf>
    <xf numFmtId="3" fontId="28" fillId="0" borderId="13" xfId="0" applyNumberFormat="1" applyFont="1" applyFill="1" applyBorder="1" applyAlignment="1">
      <alignment horizontal="right" vertical="top" indent="1"/>
    </xf>
    <xf numFmtId="3" fontId="18" fillId="0" borderId="7" xfId="0" applyNumberFormat="1" applyFont="1" applyFill="1" applyBorder="1" applyAlignment="1">
      <alignment horizontal="right" vertical="top" wrapText="1" indent="1"/>
    </xf>
    <xf numFmtId="3" fontId="21" fillId="0" borderId="0" xfId="0" applyNumberFormat="1" applyFont="1" applyFill="1" applyBorder="1" applyAlignment="1">
      <alignment horizontal="right" vertical="top" wrapText="1" indent="1"/>
    </xf>
    <xf numFmtId="3" fontId="16" fillId="0" borderId="0" xfId="0" applyNumberFormat="1" applyFont="1" applyFill="1" applyBorder="1" applyAlignment="1">
      <alignment horizontal="right" vertical="top" wrapText="1" indent="1"/>
    </xf>
    <xf numFmtId="3" fontId="16" fillId="0" borderId="7" xfId="0" applyNumberFormat="1" applyFont="1" applyFill="1" applyBorder="1" applyAlignment="1">
      <alignment horizontal="right" vertical="top" wrapText="1" indent="1"/>
    </xf>
    <xf numFmtId="3" fontId="16" fillId="0" borderId="2" xfId="0" applyNumberFormat="1" applyFont="1" applyFill="1" applyBorder="1" applyAlignment="1">
      <alignment horizontal="right" vertical="top" wrapText="1" indent="1"/>
    </xf>
    <xf numFmtId="3" fontId="28" fillId="0" borderId="0" xfId="0" applyNumberFormat="1" applyFont="1" applyFill="1" applyAlignment="1">
      <alignment horizontal="right" vertical="top" indent="1"/>
    </xf>
    <xf numFmtId="3" fontId="21" fillId="0" borderId="0" xfId="0" applyNumberFormat="1" applyFont="1" applyFill="1" applyAlignment="1">
      <alignment horizontal="right" vertical="center" indent="1"/>
    </xf>
    <xf numFmtId="3" fontId="30" fillId="0" borderId="0" xfId="0" applyNumberFormat="1" applyFont="1" applyFill="1" applyBorder="1"/>
    <xf numFmtId="0" fontId="10" fillId="0" borderId="0" xfId="1" applyFont="1" applyBorder="1" applyAlignment="1">
      <alignment horizontal="left" indent="1"/>
    </xf>
    <xf numFmtId="0" fontId="48" fillId="0" borderId="0" xfId="0" applyFont="1" applyBorder="1"/>
    <xf numFmtId="0" fontId="49" fillId="0" borderId="0" xfId="0" applyFont="1"/>
    <xf numFmtId="3" fontId="30" fillId="0" borderId="0" xfId="0" applyNumberFormat="1" applyFont="1" applyFill="1"/>
    <xf numFmtId="3" fontId="21" fillId="0" borderId="0" xfId="0" applyNumberFormat="1" applyFont="1" applyFill="1" applyBorder="1" applyAlignment="1">
      <alignment horizontal="right" vertical="top" indent="1"/>
    </xf>
    <xf numFmtId="3" fontId="21" fillId="0" borderId="0" xfId="0" applyNumberFormat="1" applyFont="1" applyFill="1"/>
    <xf numFmtId="0" fontId="28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horizontal="right" vertical="top" indent="2"/>
    </xf>
    <xf numFmtId="0" fontId="28" fillId="0" borderId="0" xfId="0" applyFont="1" applyFill="1" applyBorder="1" applyAlignment="1">
      <alignment horizontal="right" vertical="top" wrapText="1" indent="2"/>
    </xf>
    <xf numFmtId="0" fontId="28" fillId="0" borderId="0" xfId="0" applyFont="1" applyFill="1" applyBorder="1" applyAlignment="1">
      <alignment horizontal="right" vertical="center" wrapText="1" indent="2"/>
    </xf>
    <xf numFmtId="0" fontId="29" fillId="0" borderId="0" xfId="0" applyFont="1" applyFill="1" applyBorder="1" applyAlignment="1">
      <alignment horizontal="right" vertical="center" indent="2"/>
    </xf>
    <xf numFmtId="0" fontId="29" fillId="0" borderId="0" xfId="0" applyFont="1" applyFill="1" applyAlignment="1">
      <alignment horizontal="right" indent="1"/>
    </xf>
    <xf numFmtId="0" fontId="29" fillId="0" borderId="0" xfId="0" applyFont="1" applyFill="1" applyAlignment="1" applyProtection="1">
      <alignment vertical="center"/>
    </xf>
    <xf numFmtId="3" fontId="29" fillId="0" borderId="9" xfId="0" applyNumberFormat="1" applyFont="1" applyFill="1" applyBorder="1" applyAlignment="1">
      <alignment horizontal="right" vertical="top" indent="1"/>
    </xf>
    <xf numFmtId="0" fontId="50" fillId="0" borderId="0" xfId="0" applyFont="1"/>
    <xf numFmtId="3" fontId="18" fillId="0" borderId="0" xfId="0" applyNumberFormat="1" applyFont="1"/>
    <xf numFmtId="0" fontId="21" fillId="0" borderId="9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21" fillId="0" borderId="13" xfId="0" applyFont="1" applyFill="1" applyBorder="1" applyAlignment="1">
      <alignment horizontal="center" vertical="center" wrapText="1"/>
    </xf>
    <xf numFmtId="0" fontId="51" fillId="0" borderId="0" xfId="0" applyNumberFormat="1" applyFont="1" applyFill="1" applyBorder="1" applyAlignment="1" applyProtection="1">
      <alignment horizontal="right" wrapText="1"/>
    </xf>
    <xf numFmtId="0" fontId="21" fillId="0" borderId="0" xfId="0" applyFont="1" applyFill="1" applyBorder="1" applyAlignment="1">
      <alignment horizontal="right" vertical="top"/>
    </xf>
    <xf numFmtId="0" fontId="52" fillId="0" borderId="0" xfId="0" applyNumberFormat="1" applyFont="1" applyFill="1" applyBorder="1" applyAlignment="1" applyProtection="1">
      <alignment horizontal="right" wrapText="1"/>
    </xf>
    <xf numFmtId="0" fontId="52" fillId="0" borderId="0" xfId="0" applyFont="1" applyFill="1" applyBorder="1" applyAlignment="1" applyProtection="1">
      <alignment horizontal="right" wrapText="1"/>
    </xf>
    <xf numFmtId="3" fontId="21" fillId="0" borderId="7" xfId="0" applyNumberFormat="1" applyFont="1" applyFill="1" applyBorder="1" applyAlignment="1" applyProtection="1">
      <alignment horizontal="right" vertical="top" wrapText="1" indent="1"/>
    </xf>
    <xf numFmtId="3" fontId="21" fillId="0" borderId="2" xfId="0" applyNumberFormat="1" applyFont="1" applyFill="1" applyBorder="1" applyAlignment="1" applyProtection="1">
      <alignment horizontal="right" vertical="top" wrapText="1" indent="1"/>
    </xf>
    <xf numFmtId="3" fontId="28" fillId="0" borderId="7" xfId="0" applyNumberFormat="1" applyFont="1" applyFill="1" applyBorder="1" applyAlignment="1" applyProtection="1">
      <alignment horizontal="right" vertical="top" wrapText="1" indent="1"/>
    </xf>
    <xf numFmtId="3" fontId="28" fillId="0" borderId="2" xfId="0" applyNumberFormat="1" applyFont="1" applyFill="1" applyBorder="1" applyAlignment="1" applyProtection="1">
      <alignment horizontal="right" vertical="top" wrapText="1" indent="1"/>
    </xf>
    <xf numFmtId="0" fontId="10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53" fillId="0" borderId="0" xfId="0" applyFont="1" applyFill="1"/>
    <xf numFmtId="0" fontId="30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right" vertical="top" indent="1"/>
    </xf>
    <xf numFmtId="0" fontId="8" fillId="0" borderId="0" xfId="1" applyFont="1" applyFill="1" applyBorder="1" applyAlignment="1">
      <alignment horizontal="left" indent="1"/>
    </xf>
    <xf numFmtId="0" fontId="54" fillId="0" borderId="0" xfId="0" applyFont="1"/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 wrapText="1"/>
    </xf>
    <xf numFmtId="0" fontId="21" fillId="0" borderId="2" xfId="0" applyNumberFormat="1" applyFont="1" applyFill="1" applyBorder="1" applyAlignment="1">
      <alignment horizontal="right" vertical="top" wrapText="1" indent="1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3" fontId="55" fillId="0" borderId="0" xfId="0" applyNumberFormat="1" applyFont="1" applyFill="1"/>
    <xf numFmtId="3" fontId="0" fillId="0" borderId="0" xfId="0" applyNumberFormat="1"/>
    <xf numFmtId="0" fontId="31" fillId="0" borderId="0" xfId="0" applyFont="1" applyFill="1" applyBorder="1" applyAlignment="1">
      <alignment horizontal="right" vertical="top" indent="1"/>
    </xf>
    <xf numFmtId="3" fontId="0" fillId="0" borderId="0" xfId="0" applyNumberFormat="1" applyFill="1" applyBorder="1"/>
    <xf numFmtId="0" fontId="21" fillId="0" borderId="0" xfId="0" applyFont="1" applyFill="1" applyBorder="1" applyAlignment="1">
      <alignment vertical="top" wrapText="1"/>
    </xf>
    <xf numFmtId="0" fontId="28" fillId="0" borderId="2" xfId="0" applyFont="1" applyFill="1" applyBorder="1" applyAlignment="1">
      <alignment horizontal="right" vertical="top" indent="1"/>
    </xf>
    <xf numFmtId="0" fontId="21" fillId="0" borderId="0" xfId="0" applyFont="1" applyFill="1" applyBorder="1" applyAlignment="1">
      <alignment vertical="top" wrapText="1"/>
    </xf>
    <xf numFmtId="3" fontId="21" fillId="0" borderId="0" xfId="0" applyNumberFormat="1" applyFont="1" applyFill="1" applyBorder="1"/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left" vertical="top" wrapText="1"/>
    </xf>
    <xf numFmtId="3" fontId="21" fillId="0" borderId="0" xfId="0" applyNumberFormat="1" applyFont="1" applyFill="1" applyAlignment="1">
      <alignment horizontal="right" vertical="top" indent="1"/>
    </xf>
    <xf numFmtId="164" fontId="21" fillId="0" borderId="2" xfId="0" applyNumberFormat="1" applyFont="1" applyBorder="1" applyAlignment="1">
      <alignment horizontal="right" vertical="top" indent="1"/>
    </xf>
    <xf numFmtId="3" fontId="28" fillId="0" borderId="0" xfId="0" applyNumberFormat="1" applyFont="1" applyFill="1" applyBorder="1" applyAlignment="1" applyProtection="1">
      <alignment horizontal="right" vertical="top" indent="1"/>
    </xf>
    <xf numFmtId="0" fontId="9" fillId="0" borderId="0" xfId="0" applyFont="1" applyAlignment="1"/>
    <xf numFmtId="0" fontId="34" fillId="0" borderId="0" xfId="0" applyFont="1"/>
    <xf numFmtId="0" fontId="34" fillId="0" borderId="0" xfId="0" applyFont="1" applyAlignment="1"/>
    <xf numFmtId="0" fontId="8" fillId="0" borderId="0" xfId="0" applyFont="1" applyAlignment="1"/>
    <xf numFmtId="0" fontId="39" fillId="0" borderId="0" xfId="0" applyFont="1"/>
    <xf numFmtId="0" fontId="10" fillId="0" borderId="0" xfId="0" applyFont="1"/>
    <xf numFmtId="0" fontId="10" fillId="0" borderId="0" xfId="0" applyFont="1" applyAlignment="1"/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 wrapText="1"/>
    </xf>
    <xf numFmtId="0" fontId="10" fillId="0" borderId="0" xfId="0" applyFont="1" applyFill="1"/>
    <xf numFmtId="0" fontId="10" fillId="0" borderId="0" xfId="0" applyFont="1" applyFill="1" applyAlignment="1"/>
    <xf numFmtId="0" fontId="8" fillId="0" borderId="0" xfId="0" applyFont="1" applyFill="1" applyAlignment="1"/>
    <xf numFmtId="0" fontId="17" fillId="0" borderId="0" xfId="0" applyFont="1"/>
    <xf numFmtId="0" fontId="21" fillId="0" borderId="0" xfId="0" applyFont="1" applyFill="1" applyBorder="1" applyAlignment="1">
      <alignment vertical="top" wrapText="1"/>
    </xf>
    <xf numFmtId="0" fontId="57" fillId="0" borderId="0" xfId="0" applyFont="1"/>
    <xf numFmtId="0" fontId="48" fillId="0" borderId="0" xfId="0" applyFont="1"/>
    <xf numFmtId="0" fontId="21" fillId="0" borderId="0" xfId="0" applyFont="1" applyFill="1"/>
    <xf numFmtId="0" fontId="18" fillId="0" borderId="13" xfId="0" applyFont="1" applyBorder="1" applyAlignment="1">
      <alignment horizontal="center" vertical="center"/>
    </xf>
    <xf numFmtId="0" fontId="21" fillId="0" borderId="0" xfId="0" applyFont="1" applyFill="1"/>
    <xf numFmtId="0" fontId="21" fillId="0" borderId="2" xfId="0" applyFont="1" applyFill="1" applyBorder="1" applyAlignment="1">
      <alignment horizontal="right" vertical="center" inden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/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/>
    <xf numFmtId="0" fontId="28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/>
    <xf numFmtId="3" fontId="21" fillId="2" borderId="7" xfId="0" applyNumberFormat="1" applyFont="1" applyFill="1" applyBorder="1" applyAlignment="1">
      <alignment horizontal="right" vertical="top" wrapText="1" indent="1"/>
    </xf>
    <xf numFmtId="3" fontId="21" fillId="2" borderId="2" xfId="0" applyNumberFormat="1" applyFont="1" applyFill="1" applyBorder="1" applyAlignment="1">
      <alignment horizontal="right" vertical="top" wrapText="1" indent="1"/>
    </xf>
    <xf numFmtId="0" fontId="21" fillId="2" borderId="0" xfId="0" applyFont="1" applyFill="1" applyBorder="1" applyAlignment="1">
      <alignment horizontal="left" vertical="top" wrapText="1"/>
    </xf>
    <xf numFmtId="3" fontId="21" fillId="2" borderId="7" xfId="0" applyNumberFormat="1" applyFont="1" applyFill="1" applyBorder="1" applyAlignment="1">
      <alignment horizontal="right" vertical="top" indent="1"/>
    </xf>
    <xf numFmtId="3" fontId="21" fillId="2" borderId="2" xfId="0" applyNumberFormat="1" applyFont="1" applyFill="1" applyBorder="1" applyAlignment="1">
      <alignment horizontal="right" vertical="top" indent="1"/>
    </xf>
    <xf numFmtId="3" fontId="21" fillId="2" borderId="0" xfId="0" applyNumberFormat="1" applyFont="1" applyFill="1" applyBorder="1" applyAlignment="1">
      <alignment horizontal="right" vertical="top" wrapText="1" indent="1"/>
    </xf>
    <xf numFmtId="3" fontId="21" fillId="2" borderId="20" xfId="0" applyNumberFormat="1" applyFont="1" applyFill="1" applyBorder="1" applyAlignment="1">
      <alignment horizontal="right" vertical="top" wrapText="1" indent="1"/>
    </xf>
    <xf numFmtId="3" fontId="21" fillId="2" borderId="21" xfId="0" applyNumberFormat="1" applyFont="1" applyFill="1" applyBorder="1" applyAlignment="1">
      <alignment horizontal="right" vertical="top" wrapText="1" indent="1"/>
    </xf>
    <xf numFmtId="0" fontId="21" fillId="2" borderId="22" xfId="0" applyFont="1" applyFill="1" applyBorder="1" applyAlignment="1">
      <alignment horizontal="left" vertical="top" wrapText="1"/>
    </xf>
    <xf numFmtId="3" fontId="21" fillId="2" borderId="23" xfId="0" applyNumberFormat="1" applyFont="1" applyFill="1" applyBorder="1" applyAlignment="1">
      <alignment horizontal="right" vertical="top" wrapText="1" indent="1"/>
    </xf>
    <xf numFmtId="3" fontId="21" fillId="2" borderId="24" xfId="0" applyNumberFormat="1" applyFont="1" applyFill="1" applyBorder="1" applyAlignment="1">
      <alignment horizontal="right" vertical="top" wrapText="1" indent="1"/>
    </xf>
    <xf numFmtId="0" fontId="0" fillId="0" borderId="25" xfId="0" applyBorder="1"/>
    <xf numFmtId="0" fontId="21" fillId="0" borderId="26" xfId="0" applyFont="1" applyFill="1" applyBorder="1" applyAlignment="1">
      <alignment vertical="top" wrapText="1"/>
    </xf>
    <xf numFmtId="3" fontId="21" fillId="2" borderId="27" xfId="0" applyNumberFormat="1" applyFont="1" applyFill="1" applyBorder="1" applyAlignment="1">
      <alignment horizontal="right" vertical="top" wrapText="1" indent="1"/>
    </xf>
    <xf numFmtId="0" fontId="21" fillId="0" borderId="26" xfId="0" applyFont="1" applyFill="1" applyBorder="1" applyAlignment="1">
      <alignment horizontal="left" vertical="top" wrapText="1"/>
    </xf>
    <xf numFmtId="0" fontId="21" fillId="2" borderId="26" xfId="0" applyFont="1" applyFill="1" applyBorder="1" applyAlignment="1">
      <alignment horizontal="left" vertical="top" wrapText="1"/>
    </xf>
    <xf numFmtId="0" fontId="21" fillId="2" borderId="26" xfId="0" applyFont="1" applyFill="1" applyBorder="1" applyAlignment="1">
      <alignment vertical="top" wrapText="1"/>
    </xf>
    <xf numFmtId="0" fontId="21" fillId="2" borderId="28" xfId="0" applyFont="1" applyFill="1" applyBorder="1" applyAlignment="1">
      <alignment horizontal="left" vertical="top" wrapText="1"/>
    </xf>
    <xf numFmtId="3" fontId="21" fillId="2" borderId="20" xfId="0" applyNumberFormat="1" applyFont="1" applyFill="1" applyBorder="1" applyAlignment="1">
      <alignment horizontal="right" vertical="top" indent="1"/>
    </xf>
    <xf numFmtId="3" fontId="21" fillId="2" borderId="21" xfId="0" applyNumberFormat="1" applyFont="1" applyFill="1" applyBorder="1" applyAlignment="1">
      <alignment horizontal="right" vertical="top" indent="1"/>
    </xf>
    <xf numFmtId="3" fontId="21" fillId="2" borderId="29" xfId="0" applyNumberFormat="1" applyFont="1" applyFill="1" applyBorder="1" applyAlignment="1">
      <alignment horizontal="right" vertical="top" wrapText="1" indent="1"/>
    </xf>
    <xf numFmtId="3" fontId="21" fillId="2" borderId="30" xfId="0" applyNumberFormat="1" applyFont="1" applyFill="1" applyBorder="1" applyAlignment="1">
      <alignment horizontal="right" vertical="top" wrapText="1" indent="1"/>
    </xf>
    <xf numFmtId="0" fontId="0" fillId="0" borderId="31" xfId="0" applyBorder="1"/>
    <xf numFmtId="0" fontId="60" fillId="2" borderId="18" xfId="0" applyFont="1" applyFill="1" applyBorder="1"/>
    <xf numFmtId="3" fontId="21" fillId="2" borderId="32" xfId="0" applyNumberFormat="1" applyFont="1" applyFill="1" applyBorder="1" applyAlignment="1">
      <alignment horizontal="right" vertical="top" wrapText="1" indent="1"/>
    </xf>
    <xf numFmtId="0" fontId="21" fillId="0" borderId="22" xfId="0" applyFont="1" applyFill="1" applyBorder="1" applyAlignment="1">
      <alignment horizontal="left" vertical="top" wrapText="1"/>
    </xf>
    <xf numFmtId="3" fontId="21" fillId="0" borderId="23" xfId="0" applyNumberFormat="1" applyFont="1" applyFill="1" applyBorder="1" applyAlignment="1">
      <alignment horizontal="right" vertical="top" indent="1"/>
    </xf>
    <xf numFmtId="3" fontId="21" fillId="0" borderId="24" xfId="0" applyNumberFormat="1" applyFont="1" applyFill="1" applyBorder="1" applyAlignment="1">
      <alignment horizontal="right" vertical="top" wrapText="1" indent="1"/>
    </xf>
    <xf numFmtId="3" fontId="21" fillId="0" borderId="30" xfId="0" applyNumberFormat="1" applyFont="1" applyFill="1" applyBorder="1" applyAlignment="1">
      <alignment horizontal="right" vertical="top" wrapText="1" indent="1"/>
    </xf>
    <xf numFmtId="3" fontId="21" fillId="2" borderId="23" xfId="0" applyNumberFormat="1" applyFont="1" applyFill="1" applyBorder="1" applyAlignment="1">
      <alignment horizontal="right" vertical="top" indent="1"/>
    </xf>
    <xf numFmtId="3" fontId="21" fillId="2" borderId="24" xfId="0" applyNumberFormat="1" applyFont="1" applyFill="1" applyBorder="1" applyAlignment="1">
      <alignment horizontal="right" vertical="top" indent="1"/>
    </xf>
    <xf numFmtId="1" fontId="59" fillId="2" borderId="23" xfId="0" applyNumberFormat="1" applyFont="1" applyFill="1" applyBorder="1" applyAlignment="1">
      <alignment horizontal="right" vertical="top" indent="1"/>
    </xf>
    <xf numFmtId="1" fontId="59" fillId="2" borderId="33" xfId="0" applyNumberFormat="1" applyFont="1" applyFill="1" applyBorder="1" applyAlignment="1">
      <alignment horizontal="right" vertical="top" indent="1"/>
    </xf>
    <xf numFmtId="0" fontId="21" fillId="2" borderId="22" xfId="0" applyFont="1" applyFill="1" applyBorder="1" applyAlignment="1">
      <alignment vertical="top" wrapText="1"/>
    </xf>
    <xf numFmtId="0" fontId="30" fillId="0" borderId="19" xfId="0" applyFont="1" applyFill="1" applyBorder="1"/>
    <xf numFmtId="0" fontId="0" fillId="0" borderId="34" xfId="0" applyBorder="1"/>
    <xf numFmtId="3" fontId="21" fillId="2" borderId="25" xfId="0" applyNumberFormat="1" applyFont="1" applyFill="1" applyBorder="1" applyAlignment="1">
      <alignment horizontal="right" vertical="top" wrapText="1" indent="1"/>
    </xf>
    <xf numFmtId="1" fontId="59" fillId="2" borderId="35" xfId="0" applyNumberFormat="1" applyFont="1" applyFill="1" applyBorder="1" applyAlignment="1">
      <alignment horizontal="right" vertical="top" indent="1"/>
    </xf>
    <xf numFmtId="3" fontId="21" fillId="2" borderId="36" xfId="0" applyNumberFormat="1" applyFont="1" applyFill="1" applyBorder="1" applyAlignment="1">
      <alignment horizontal="right" vertical="top" wrapText="1" indent="1"/>
    </xf>
    <xf numFmtId="3" fontId="28" fillId="0" borderId="37" xfId="0" applyNumberFormat="1" applyFont="1" applyFill="1" applyBorder="1" applyAlignment="1">
      <alignment horizontal="right" vertical="top" wrapText="1" indent="1"/>
    </xf>
    <xf numFmtId="3" fontId="21" fillId="2" borderId="38" xfId="0" applyNumberFormat="1" applyFont="1" applyFill="1" applyBorder="1" applyAlignment="1">
      <alignment horizontal="right" vertical="top" wrapText="1" indent="1"/>
    </xf>
    <xf numFmtId="3" fontId="21" fillId="2" borderId="39" xfId="0" applyNumberFormat="1" applyFont="1" applyFill="1" applyBorder="1" applyAlignment="1">
      <alignment horizontal="right" vertical="top" wrapText="1" indent="1"/>
    </xf>
    <xf numFmtId="3" fontId="21" fillId="2" borderId="40" xfId="0" applyNumberFormat="1" applyFont="1" applyFill="1" applyBorder="1" applyAlignment="1">
      <alignment horizontal="right" vertical="top" wrapText="1" indent="1"/>
    </xf>
    <xf numFmtId="3" fontId="21" fillId="2" borderId="41" xfId="0" applyNumberFormat="1" applyFont="1" applyFill="1" applyBorder="1" applyAlignment="1">
      <alignment horizontal="right" vertical="top" wrapText="1" indent="1"/>
    </xf>
    <xf numFmtId="0" fontId="21" fillId="0" borderId="43" xfId="0" applyFont="1" applyFill="1" applyBorder="1" applyAlignment="1">
      <alignment horizontal="left" vertical="top" wrapText="1"/>
    </xf>
    <xf numFmtId="3" fontId="21" fillId="0" borderId="39" xfId="0" applyNumberFormat="1" applyFont="1" applyFill="1" applyBorder="1" applyAlignment="1">
      <alignment horizontal="right" vertical="top" wrapText="1" indent="1"/>
    </xf>
    <xf numFmtId="3" fontId="21" fillId="0" borderId="38" xfId="0" applyNumberFormat="1" applyFont="1" applyFill="1" applyBorder="1" applyAlignment="1">
      <alignment horizontal="right" vertical="top" wrapText="1" indent="1"/>
    </xf>
    <xf numFmtId="0" fontId="21" fillId="2" borderId="45" xfId="0" applyFont="1" applyFill="1" applyBorder="1" applyAlignment="1">
      <alignment vertical="top" wrapText="1"/>
    </xf>
    <xf numFmtId="0" fontId="21" fillId="0" borderId="47" xfId="0" applyFont="1" applyFill="1" applyBorder="1" applyAlignment="1">
      <alignment vertical="top" wrapText="1"/>
    </xf>
    <xf numFmtId="3" fontId="21" fillId="0" borderId="48" xfId="0" applyNumberFormat="1" applyFont="1" applyFill="1" applyBorder="1" applyAlignment="1">
      <alignment horizontal="right" vertical="top" wrapText="1" indent="1"/>
    </xf>
    <xf numFmtId="0" fontId="21" fillId="2" borderId="43" xfId="0" applyFont="1" applyFill="1" applyBorder="1" applyAlignment="1">
      <alignment vertical="top" wrapText="1"/>
    </xf>
    <xf numFmtId="3" fontId="21" fillId="2" borderId="48" xfId="0" applyNumberFormat="1" applyFont="1" applyFill="1" applyBorder="1" applyAlignment="1">
      <alignment horizontal="right" vertical="top" wrapText="1" indent="1"/>
    </xf>
    <xf numFmtId="0" fontId="21" fillId="2" borderId="49" xfId="0" applyFont="1" applyFill="1" applyBorder="1" applyAlignment="1">
      <alignment vertical="top" wrapText="1"/>
    </xf>
    <xf numFmtId="3" fontId="21" fillId="2" borderId="50" xfId="0" applyNumberFormat="1" applyFont="1" applyFill="1" applyBorder="1" applyAlignment="1">
      <alignment horizontal="right" vertical="top" wrapText="1" indent="1"/>
    </xf>
    <xf numFmtId="3" fontId="21" fillId="2" borderId="51" xfId="0" applyNumberFormat="1" applyFont="1" applyFill="1" applyBorder="1" applyAlignment="1">
      <alignment horizontal="right" vertical="top" wrapText="1" indent="1"/>
    </xf>
    <xf numFmtId="3" fontId="21" fillId="2" borderId="52" xfId="0" applyNumberFormat="1" applyFont="1" applyFill="1" applyBorder="1" applyAlignment="1">
      <alignment horizontal="right" vertical="top" wrapText="1" indent="1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21" fillId="0" borderId="56" xfId="0" applyFont="1" applyFill="1" applyBorder="1" applyAlignment="1">
      <alignment horizontal="left" vertical="top" wrapText="1"/>
    </xf>
    <xf numFmtId="3" fontId="21" fillId="0" borderId="57" xfId="0" applyNumberFormat="1" applyFont="1" applyFill="1" applyBorder="1" applyAlignment="1">
      <alignment horizontal="right" vertical="top" wrapText="1" indent="1"/>
    </xf>
    <xf numFmtId="3" fontId="21" fillId="0" borderId="37" xfId="0" applyNumberFormat="1" applyFont="1" applyFill="1" applyBorder="1" applyAlignment="1">
      <alignment horizontal="right" vertical="top" wrapText="1" indent="1"/>
    </xf>
    <xf numFmtId="3" fontId="21" fillId="2" borderId="37" xfId="0" applyNumberFormat="1" applyFont="1" applyFill="1" applyBorder="1" applyAlignment="1">
      <alignment horizontal="right" vertical="top" wrapText="1" indent="1"/>
    </xf>
    <xf numFmtId="3" fontId="21" fillId="2" borderId="58" xfId="0" applyNumberFormat="1" applyFont="1" applyFill="1" applyBorder="1" applyAlignment="1">
      <alignment horizontal="right" vertical="top" wrapText="1" indent="1"/>
    </xf>
    <xf numFmtId="0" fontId="0" fillId="0" borderId="59" xfId="0" applyBorder="1"/>
    <xf numFmtId="0" fontId="0" fillId="0" borderId="60" xfId="0" applyBorder="1"/>
    <xf numFmtId="0" fontId="21" fillId="2" borderId="43" xfId="0" applyFont="1" applyFill="1" applyBorder="1" applyAlignment="1">
      <alignment horizontal="left" vertical="top" wrapText="1"/>
    </xf>
    <xf numFmtId="3" fontId="21" fillId="2" borderId="57" xfId="0" applyNumberFormat="1" applyFont="1" applyFill="1" applyBorder="1" applyAlignment="1">
      <alignment horizontal="right" vertical="top" wrapText="1" indent="1"/>
    </xf>
    <xf numFmtId="3" fontId="21" fillId="0" borderId="58" xfId="0" applyNumberFormat="1" applyFont="1" applyFill="1" applyBorder="1" applyAlignment="1">
      <alignment horizontal="right" vertical="top" wrapText="1" indent="1"/>
    </xf>
    <xf numFmtId="0" fontId="0" fillId="0" borderId="56" xfId="0" applyBorder="1"/>
    <xf numFmtId="0" fontId="0" fillId="0" borderId="61" xfId="0" applyBorder="1"/>
    <xf numFmtId="0" fontId="0" fillId="0" borderId="63" xfId="0" applyBorder="1"/>
    <xf numFmtId="0" fontId="0" fillId="0" borderId="43" xfId="0" applyBorder="1"/>
    <xf numFmtId="0" fontId="0" fillId="0" borderId="42" xfId="0" applyBorder="1"/>
    <xf numFmtId="0" fontId="0" fillId="2" borderId="42" xfId="0" applyFill="1" applyBorder="1"/>
    <xf numFmtId="0" fontId="0" fillId="2" borderId="43" xfId="0" applyFill="1" applyBorder="1"/>
    <xf numFmtId="3" fontId="21" fillId="0" borderId="1" xfId="0" applyNumberFormat="1" applyFont="1" applyFill="1" applyBorder="1" applyAlignment="1">
      <alignment horizontal="right" vertical="top" wrapText="1" indent="1"/>
    </xf>
    <xf numFmtId="3" fontId="21" fillId="2" borderId="45" xfId="0" applyNumberFormat="1" applyFont="1" applyFill="1" applyBorder="1" applyAlignment="1">
      <alignment horizontal="right" vertical="top" wrapText="1" indent="1"/>
    </xf>
    <xf numFmtId="0" fontId="21" fillId="2" borderId="64" xfId="0" applyFont="1" applyFill="1" applyBorder="1" applyAlignment="1">
      <alignment horizontal="left" vertical="top" wrapText="1"/>
    </xf>
    <xf numFmtId="0" fontId="0" fillId="2" borderId="65" xfId="0" applyFill="1" applyBorder="1"/>
    <xf numFmtId="0" fontId="0" fillId="0" borderId="49" xfId="0" applyBorder="1"/>
    <xf numFmtId="0" fontId="21" fillId="2" borderId="44" xfId="0" applyFont="1" applyFill="1" applyBorder="1" applyAlignment="1">
      <alignment horizontal="left" vertical="top" wrapText="1"/>
    </xf>
    <xf numFmtId="0" fontId="0" fillId="0" borderId="47" xfId="0" applyBorder="1"/>
    <xf numFmtId="0" fontId="0" fillId="2" borderId="47" xfId="0" applyFill="1" applyBorder="1"/>
    <xf numFmtId="0" fontId="0" fillId="2" borderId="46" xfId="0" applyFill="1" applyBorder="1"/>
    <xf numFmtId="3" fontId="21" fillId="2" borderId="37" xfId="0" applyNumberFormat="1" applyFont="1" applyFill="1" applyBorder="1" applyAlignment="1">
      <alignment horizontal="right" vertical="top" indent="1"/>
    </xf>
    <xf numFmtId="0" fontId="0" fillId="0" borderId="62" xfId="0" applyBorder="1"/>
    <xf numFmtId="0" fontId="1" fillId="0" borderId="66" xfId="0" applyFont="1" applyFill="1" applyBorder="1"/>
    <xf numFmtId="0" fontId="0" fillId="0" borderId="66" xfId="0" applyBorder="1"/>
    <xf numFmtId="0" fontId="30" fillId="0" borderId="66" xfId="0" applyFont="1" applyFill="1" applyBorder="1"/>
    <xf numFmtId="3" fontId="0" fillId="0" borderId="66" xfId="0" applyNumberFormat="1" applyBorder="1"/>
    <xf numFmtId="0" fontId="1" fillId="0" borderId="63" xfId="0" applyFont="1" applyFill="1" applyBorder="1"/>
    <xf numFmtId="0" fontId="30" fillId="0" borderId="63" xfId="0" applyFont="1" applyFill="1" applyBorder="1"/>
    <xf numFmtId="3" fontId="21" fillId="2" borderId="58" xfId="0" applyNumberFormat="1" applyFont="1" applyFill="1" applyBorder="1" applyAlignment="1">
      <alignment horizontal="right" vertical="top" indent="1"/>
    </xf>
    <xf numFmtId="3" fontId="21" fillId="2" borderId="38" xfId="0" applyNumberFormat="1" applyFont="1" applyFill="1" applyBorder="1" applyAlignment="1">
      <alignment horizontal="right" vertical="top" indent="1"/>
    </xf>
    <xf numFmtId="3" fontId="21" fillId="2" borderId="39" xfId="0" applyNumberFormat="1" applyFont="1" applyFill="1" applyBorder="1" applyAlignment="1">
      <alignment horizontal="right" vertical="top" indent="1"/>
    </xf>
    <xf numFmtId="0" fontId="30" fillId="0" borderId="42" xfId="0" applyFont="1" applyFill="1" applyBorder="1"/>
    <xf numFmtId="3" fontId="21" fillId="2" borderId="59" xfId="0" applyNumberFormat="1" applyFont="1" applyFill="1" applyBorder="1" applyAlignment="1">
      <alignment horizontal="right" vertical="top" wrapText="1" inden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vertical="top" wrapText="1"/>
    </xf>
    <xf numFmtId="0" fontId="21" fillId="0" borderId="44" xfId="0" applyFont="1" applyFill="1" applyBorder="1" applyAlignment="1">
      <alignment vertical="top" wrapText="1"/>
    </xf>
    <xf numFmtId="3" fontId="61" fillId="0" borderId="7" xfId="0" applyNumberFormat="1" applyFont="1" applyBorder="1" applyAlignment="1">
      <alignment horizontal="right" vertical="top" indent="1"/>
    </xf>
    <xf numFmtId="3" fontId="61" fillId="0" borderId="2" xfId="0" applyNumberFormat="1" applyFont="1" applyBorder="1" applyAlignment="1">
      <alignment horizontal="right" vertical="top" indent="1"/>
    </xf>
    <xf numFmtId="0" fontId="21" fillId="0" borderId="2" xfId="0" applyFont="1" applyBorder="1" applyAlignment="1">
      <alignment horizontal="right" vertical="top" indent="1"/>
    </xf>
    <xf numFmtId="0" fontId="30" fillId="2" borderId="0" xfId="0" applyFont="1" applyFill="1"/>
    <xf numFmtId="3" fontId="28" fillId="2" borderId="2" xfId="0" applyNumberFormat="1" applyFont="1" applyFill="1" applyBorder="1" applyAlignment="1">
      <alignment horizontal="right" vertical="top" inden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/>
    <xf numFmtId="165" fontId="21" fillId="0" borderId="2" xfId="3" applyNumberFormat="1" applyFont="1" applyBorder="1" applyAlignment="1">
      <alignment horizontal="right" vertical="top" indent="1"/>
    </xf>
    <xf numFmtId="1" fontId="59" fillId="0" borderId="2" xfId="0" applyNumberFormat="1" applyFont="1" applyFill="1" applyBorder="1" applyAlignment="1">
      <alignment horizontal="right" vertical="top" indent="1"/>
    </xf>
    <xf numFmtId="0" fontId="21" fillId="2" borderId="0" xfId="0" applyFont="1" applyFill="1" applyBorder="1" applyAlignment="1">
      <alignment vertical="top" wrapText="1"/>
    </xf>
    <xf numFmtId="0" fontId="21" fillId="2" borderId="0" xfId="0" applyFont="1" applyFill="1" applyBorder="1" applyAlignment="1">
      <alignment horizontal="left" vertical="top" wrapText="1" inden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right" vertical="top" indent="1"/>
    </xf>
    <xf numFmtId="0" fontId="21" fillId="0" borderId="0" xfId="0" applyFont="1" applyFill="1" applyAlignment="1">
      <alignment horizontal="right" vertical="top" indent="1"/>
    </xf>
    <xf numFmtId="0" fontId="11" fillId="0" borderId="1" xfId="0" applyFont="1" applyFill="1" applyBorder="1"/>
    <xf numFmtId="3" fontId="21" fillId="0" borderId="1" xfId="0" applyNumberFormat="1" applyFont="1" applyFill="1" applyBorder="1" applyAlignment="1">
      <alignment horizontal="right" vertical="top" indent="1"/>
    </xf>
    <xf numFmtId="3" fontId="21" fillId="0" borderId="45" xfId="0" applyNumberFormat="1" applyFont="1" applyFill="1" applyBorder="1" applyAlignment="1">
      <alignment horizontal="right" vertical="top" indent="1"/>
    </xf>
    <xf numFmtId="3" fontId="21" fillId="0" borderId="48" xfId="0" applyNumberFormat="1" applyFont="1" applyFill="1" applyBorder="1" applyAlignment="1">
      <alignment horizontal="right" vertical="top" indent="1"/>
    </xf>
    <xf numFmtId="3" fontId="21" fillId="0" borderId="38" xfId="0" applyNumberFormat="1" applyFont="1" applyFill="1" applyBorder="1" applyAlignment="1">
      <alignment horizontal="right" vertical="top" indent="1"/>
    </xf>
    <xf numFmtId="3" fontId="21" fillId="0" borderId="47" xfId="0" applyNumberFormat="1" applyFont="1" applyFill="1" applyBorder="1" applyAlignment="1">
      <alignment horizontal="right" vertical="top" indent="1"/>
    </xf>
    <xf numFmtId="3" fontId="21" fillId="0" borderId="47" xfId="0" applyNumberFormat="1" applyFont="1" applyFill="1" applyBorder="1" applyAlignment="1">
      <alignment horizontal="right" vertical="top" wrapText="1" indent="1"/>
    </xf>
    <xf numFmtId="3" fontId="21" fillId="0" borderId="67" xfId="0" applyNumberFormat="1" applyFont="1" applyFill="1" applyBorder="1" applyAlignment="1">
      <alignment horizontal="right" vertical="top" indent="1"/>
    </xf>
    <xf numFmtId="3" fontId="21" fillId="0" borderId="57" xfId="0" applyNumberFormat="1" applyFont="1" applyFill="1" applyBorder="1" applyAlignment="1">
      <alignment horizontal="right" vertical="top" indent="1"/>
    </xf>
    <xf numFmtId="3" fontId="21" fillId="0" borderId="45" xfId="0" applyNumberFormat="1" applyFont="1" applyFill="1" applyBorder="1" applyAlignment="1">
      <alignment horizontal="right" vertical="top" wrapText="1" indent="1"/>
    </xf>
    <xf numFmtId="3" fontId="21" fillId="0" borderId="37" xfId="0" applyNumberFormat="1" applyFont="1" applyFill="1" applyBorder="1" applyAlignment="1">
      <alignment horizontal="right" vertical="top" indent="1"/>
    </xf>
    <xf numFmtId="0" fontId="20" fillId="0" borderId="0" xfId="0" applyFont="1" applyFill="1" applyAlignment="1">
      <alignment vertical="top" wrapText="1"/>
    </xf>
    <xf numFmtId="0" fontId="10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vertical="top" wrapText="1"/>
    </xf>
    <xf numFmtId="166" fontId="21" fillId="0" borderId="0" xfId="0" applyNumberFormat="1" applyFont="1" applyFill="1"/>
    <xf numFmtId="0" fontId="28" fillId="0" borderId="7" xfId="0" applyFont="1" applyFill="1" applyBorder="1" applyAlignment="1" applyProtection="1">
      <alignment vertical="top"/>
    </xf>
    <xf numFmtId="0" fontId="28" fillId="0" borderId="2" xfId="0" applyFont="1" applyFill="1" applyBorder="1" applyAlignment="1" applyProtection="1">
      <alignment vertical="top"/>
    </xf>
    <xf numFmtId="0" fontId="21" fillId="0" borderId="7" xfId="0" applyFont="1" applyFill="1" applyBorder="1" applyAlignment="1">
      <alignment vertical="top"/>
    </xf>
    <xf numFmtId="0" fontId="21" fillId="0" borderId="2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 wrapText="1"/>
    </xf>
    <xf numFmtId="0" fontId="47" fillId="0" borderId="0" xfId="1" applyFont="1" applyFill="1" applyBorder="1" applyAlignment="1">
      <alignment horizontal="left" indent="1"/>
    </xf>
    <xf numFmtId="0" fontId="0" fillId="0" borderId="0" xfId="0" applyBorder="1" applyAlignment="1">
      <alignment horizontal="center"/>
    </xf>
    <xf numFmtId="0" fontId="29" fillId="0" borderId="8" xfId="0" applyFont="1" applyBorder="1" applyAlignment="1">
      <alignment vertical="top" wrapText="1"/>
    </xf>
    <xf numFmtId="0" fontId="29" fillId="0" borderId="13" xfId="0" applyFont="1" applyBorder="1" applyAlignment="1">
      <alignment horizontal="right" vertical="top" indent="1"/>
    </xf>
    <xf numFmtId="0" fontId="29" fillId="0" borderId="9" xfId="0" applyFont="1" applyBorder="1" applyAlignment="1">
      <alignment horizontal="right" vertical="top" indent="1"/>
    </xf>
    <xf numFmtId="0" fontId="21" fillId="0" borderId="2" xfId="0" applyFont="1" applyFill="1" applyBorder="1" applyAlignment="1" applyProtection="1">
      <alignment horizontal="right" vertical="top" indent="1"/>
    </xf>
    <xf numFmtId="0" fontId="0" fillId="0" borderId="0" xfId="0" applyBorder="1" applyAlignment="1"/>
    <xf numFmtId="0" fontId="18" fillId="0" borderId="0" xfId="0" applyFont="1" applyAlignment="1">
      <alignment vertical="top" wrapText="1"/>
    </xf>
    <xf numFmtId="0" fontId="21" fillId="0" borderId="0" xfId="0" applyFont="1" applyBorder="1" applyAlignment="1">
      <alignment horizontal="right" vertical="top" indent="1"/>
    </xf>
    <xf numFmtId="0" fontId="21" fillId="0" borderId="68" xfId="0" applyFont="1" applyBorder="1" applyAlignment="1">
      <alignment horizontal="right" vertical="top" indent="1"/>
    </xf>
    <xf numFmtId="0" fontId="21" fillId="0" borderId="69" xfId="0" applyFont="1" applyFill="1" applyBorder="1" applyAlignment="1" applyProtection="1">
      <alignment horizontal="right" vertical="top" indent="1"/>
    </xf>
    <xf numFmtId="0" fontId="21" fillId="0" borderId="68" xfId="0" applyFont="1" applyFill="1" applyBorder="1" applyAlignment="1" applyProtection="1">
      <alignment horizontal="right" vertical="top" indent="1"/>
    </xf>
    <xf numFmtId="0" fontId="18" fillId="2" borderId="0" xfId="0" applyFont="1" applyFill="1" applyBorder="1" applyAlignment="1">
      <alignment vertical="top" wrapText="1"/>
    </xf>
    <xf numFmtId="0" fontId="21" fillId="2" borderId="42" xfId="0" applyFont="1" applyFill="1" applyBorder="1" applyAlignment="1">
      <alignment vertical="top" wrapText="1"/>
    </xf>
    <xf numFmtId="0" fontId="69" fillId="0" borderId="0" xfId="0" applyFont="1" applyFill="1"/>
    <xf numFmtId="3" fontId="18" fillId="2" borderId="7" xfId="0" applyNumberFormat="1" applyFont="1" applyFill="1" applyBorder="1" applyAlignment="1">
      <alignment horizontal="right" vertical="top" indent="1"/>
    </xf>
    <xf numFmtId="3" fontId="18" fillId="2" borderId="2" xfId="0" applyNumberFormat="1" applyFont="1" applyFill="1" applyBorder="1" applyAlignment="1">
      <alignment horizontal="right" vertical="top" indent="1"/>
    </xf>
    <xf numFmtId="0" fontId="21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 applyProtection="1">
      <alignment vertical="top"/>
    </xf>
    <xf numFmtId="1" fontId="28" fillId="0" borderId="7" xfId="0" applyNumberFormat="1" applyFont="1" applyFill="1" applyBorder="1" applyAlignment="1" applyProtection="1">
      <alignment horizontal="right" vertical="top" indent="1"/>
    </xf>
    <xf numFmtId="1" fontId="18" fillId="0" borderId="7" xfId="0" applyNumberFormat="1" applyFont="1" applyFill="1" applyBorder="1" applyAlignment="1">
      <alignment horizontal="right" vertical="top" indent="1"/>
    </xf>
    <xf numFmtId="1" fontId="21" fillId="0" borderId="7" xfId="0" applyNumberFormat="1" applyFont="1" applyFill="1" applyBorder="1" applyAlignment="1">
      <alignment horizontal="right" vertical="top" indent="1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 wrapText="1"/>
    </xf>
    <xf numFmtId="0" fontId="70" fillId="0" borderId="0" xfId="1" applyFont="1" applyFill="1" applyBorder="1" applyAlignment="1">
      <alignment wrapText="1"/>
    </xf>
    <xf numFmtId="0" fontId="30" fillId="0" borderId="7" xfId="0" applyFont="1" applyFill="1" applyBorder="1"/>
    <xf numFmtId="0" fontId="21" fillId="0" borderId="0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66" fontId="29" fillId="0" borderId="0" xfId="0" applyNumberFormat="1" applyFont="1" applyBorder="1"/>
    <xf numFmtId="3" fontId="21" fillId="2" borderId="47" xfId="0" applyNumberFormat="1" applyFont="1" applyFill="1" applyBorder="1" applyAlignment="1">
      <alignment horizontal="right" vertical="top" indent="1"/>
    </xf>
    <xf numFmtId="3" fontId="21" fillId="0" borderId="71" xfId="0" applyNumberFormat="1" applyFont="1" applyFill="1" applyBorder="1" applyAlignment="1">
      <alignment horizontal="right" vertical="top" indent="1"/>
    </xf>
    <xf numFmtId="3" fontId="21" fillId="0" borderId="71" xfId="0" applyNumberFormat="1" applyFont="1" applyFill="1" applyBorder="1" applyAlignment="1">
      <alignment horizontal="right" vertical="top" wrapText="1" indent="1"/>
    </xf>
    <xf numFmtId="3" fontId="21" fillId="0" borderId="70" xfId="0" applyNumberFormat="1" applyFont="1" applyFill="1" applyBorder="1" applyAlignment="1">
      <alignment horizontal="right" vertical="top" wrapText="1" indent="1"/>
    </xf>
    <xf numFmtId="0" fontId="18" fillId="0" borderId="14" xfId="0" applyFont="1" applyFill="1" applyBorder="1" applyAlignment="1">
      <alignment vertical="center" wrapText="1"/>
    </xf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right" vertical="top" indent="1"/>
    </xf>
    <xf numFmtId="0" fontId="21" fillId="0" borderId="7" xfId="0" applyFont="1" applyFill="1" applyBorder="1" applyAlignment="1">
      <alignment horizontal="right" vertical="top" indent="1"/>
    </xf>
    <xf numFmtId="0" fontId="21" fillId="0" borderId="0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right" vertical="top" indent="1"/>
    </xf>
    <xf numFmtId="0" fontId="21" fillId="0" borderId="0" xfId="0" applyFont="1" applyFill="1" applyAlignment="1">
      <alignment horizontal="left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indent="1"/>
    </xf>
    <xf numFmtId="0" fontId="9" fillId="0" borderId="0" xfId="1" applyFont="1" applyBorder="1" applyAlignment="1">
      <alignment horizontal="left" indent="1"/>
    </xf>
    <xf numFmtId="0" fontId="10" fillId="0" borderId="2" xfId="1" applyFont="1" applyBorder="1" applyAlignment="1">
      <alignment horizontal="left" indent="1"/>
    </xf>
    <xf numFmtId="0" fontId="10" fillId="0" borderId="0" xfId="1" applyFont="1" applyBorder="1" applyAlignment="1">
      <alignment horizontal="left" indent="1"/>
    </xf>
    <xf numFmtId="0" fontId="10" fillId="0" borderId="2" xfId="1" applyFont="1" applyBorder="1" applyAlignment="1">
      <alignment horizontal="left" wrapText="1" indent="1"/>
    </xf>
    <xf numFmtId="0" fontId="47" fillId="0" borderId="2" xfId="1" applyFont="1" applyFill="1" applyBorder="1" applyAlignment="1">
      <alignment horizontal="left" indent="1"/>
    </xf>
    <xf numFmtId="0" fontId="47" fillId="0" borderId="0" xfId="1" applyFont="1" applyFill="1" applyBorder="1" applyAlignment="1">
      <alignment horizontal="left" indent="1"/>
    </xf>
    <xf numFmtId="0" fontId="47" fillId="0" borderId="0" xfId="1" applyFont="1" applyFill="1" applyAlignment="1">
      <alignment horizontal="left" indent="1"/>
    </xf>
    <xf numFmtId="0" fontId="9" fillId="0" borderId="0" xfId="1" applyFont="1" applyFill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10" fillId="0" borderId="0" xfId="1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9" fillId="0" borderId="2" xfId="1" applyFont="1" applyFill="1" applyBorder="1" applyAlignment="1">
      <alignment horizontal="left" indent="1"/>
    </xf>
    <xf numFmtId="0" fontId="9" fillId="0" borderId="0" xfId="1" applyFont="1" applyFill="1" applyBorder="1" applyAlignment="1">
      <alignment horizontal="left" indent="1"/>
    </xf>
    <xf numFmtId="0" fontId="47" fillId="0" borderId="2" xfId="1" applyFont="1" applyBorder="1" applyAlignment="1">
      <alignment horizontal="left" indent="1"/>
    </xf>
    <xf numFmtId="0" fontId="47" fillId="0" borderId="0" xfId="1" applyFont="1" applyBorder="1" applyAlignment="1">
      <alignment horizontal="left" indent="1"/>
    </xf>
    <xf numFmtId="0" fontId="47" fillId="0" borderId="0" xfId="1" applyFont="1" applyAlignment="1">
      <alignment horizontal="left" indent="1"/>
    </xf>
    <xf numFmtId="0" fontId="47" fillId="0" borderId="2" xfId="1" applyFont="1" applyFill="1" applyBorder="1" applyAlignment="1">
      <alignment horizontal="left" wrapText="1" indent="1"/>
    </xf>
    <xf numFmtId="0" fontId="9" fillId="0" borderId="2" xfId="1" applyFont="1" applyFill="1" applyBorder="1" applyAlignment="1">
      <alignment horizontal="left" wrapText="1" indent="1"/>
    </xf>
    <xf numFmtId="0" fontId="9" fillId="0" borderId="0" xfId="1" applyFont="1" applyFill="1" applyBorder="1" applyAlignment="1">
      <alignment horizontal="left" wrapText="1" indent="1"/>
    </xf>
    <xf numFmtId="0" fontId="18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64" fillId="0" borderId="3" xfId="1" applyFont="1" applyBorder="1" applyAlignment="1">
      <alignment wrapText="1"/>
    </xf>
    <xf numFmtId="0" fontId="64" fillId="0" borderId="0" xfId="1" applyFont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64" fillId="0" borderId="0" xfId="1" applyFont="1" applyBorder="1" applyAlignment="1"/>
    <xf numFmtId="0" fontId="16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18" fillId="0" borderId="0" xfId="0" applyFont="1" applyFill="1" applyAlignment="1">
      <alignment horizontal="left"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21" fillId="0" borderId="0" xfId="0" applyFont="1" applyFill="1" applyAlignment="1">
      <alignment vertical="top" wrapText="1"/>
    </xf>
    <xf numFmtId="0" fontId="33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64" fillId="0" borderId="0" xfId="1" applyFont="1" applyAlignment="1">
      <alignment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/>
    <xf numFmtId="0" fontId="16" fillId="0" borderId="1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top"/>
    </xf>
    <xf numFmtId="0" fontId="28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left" vertical="top" wrapText="1"/>
    </xf>
    <xf numFmtId="0" fontId="64" fillId="0" borderId="0" xfId="1" applyFont="1" applyBorder="1"/>
    <xf numFmtId="0" fontId="18" fillId="0" borderId="2" xfId="0" applyFont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8" fillId="0" borderId="2" xfId="0" applyFont="1" applyFill="1" applyBorder="1" applyAlignment="1">
      <alignment vertical="top" wrapText="1"/>
    </xf>
    <xf numFmtId="0" fontId="21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21" fillId="0" borderId="15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21" fillId="0" borderId="16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vertical="top" wrapText="1"/>
    </xf>
    <xf numFmtId="0" fontId="10" fillId="0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Fill="1" applyAlignment="1">
      <alignment vertical="top" wrapText="1"/>
    </xf>
    <xf numFmtId="0" fontId="64" fillId="0" borderId="3" xfId="1" applyFont="1" applyBorder="1" applyAlignment="1">
      <alignment horizontal="left" wrapText="1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11" fontId="16" fillId="0" borderId="13" xfId="0" applyNumberFormat="1" applyFont="1" applyBorder="1" applyAlignment="1">
      <alignment horizontal="center" vertical="center" wrapText="1"/>
    </xf>
    <xf numFmtId="11" fontId="16" fillId="0" borderId="10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70" fillId="0" borderId="0" xfId="1" applyFont="1" applyAlignment="1">
      <alignment wrapText="1"/>
    </xf>
    <xf numFmtId="0" fontId="70" fillId="0" borderId="0" xfId="1" applyFont="1" applyAlignment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70" fillId="0" borderId="0" xfId="1" applyFont="1" applyFill="1" applyBorder="1" applyAlignment="1">
      <alignment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0" fontId="10" fillId="0" borderId="0" xfId="0" applyFont="1" applyFill="1" applyAlignment="1">
      <alignment wrapText="1"/>
    </xf>
  </cellXfs>
  <cellStyles count="9">
    <cellStyle name="[StdExit()]" xfId="2" xr:uid="{00000000-0005-0000-0000-000000000000}"/>
    <cellStyle name="Dziesiętny" xfId="3" builtinId="3"/>
    <cellStyle name="Dziesiętny 2" xfId="8" xr:uid="{00000000-0005-0000-0000-000035000000}"/>
    <cellStyle name="Hiperłącze" xfId="1" builtinId="8"/>
    <cellStyle name="Normalny" xfId="0" builtinId="0"/>
    <cellStyle name="Normalny 2" xfId="4" xr:uid="{00000000-0005-0000-0000-000032000000}"/>
    <cellStyle name="Normalny 3" xfId="7" xr:uid="{00000000-0005-0000-0000-000036000000}"/>
    <cellStyle name="Normalny 5" xfId="6" xr:uid="{FCE465C8-3FA8-4FD3-86D0-3690CD64730D}"/>
    <cellStyle name="Tekst objaśnienia 2" xfId="5" xr:uid="{00000000-0005-0000-0000-000033000000}"/>
  </cellStyles>
  <dxfs count="17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57171"/>
      <color rgb="FF0563C1"/>
      <color rgb="FFFF0000"/>
      <color rgb="FF595959"/>
      <color rgb="FFD9D9D9"/>
      <color rgb="FFFF9933"/>
      <color rgb="FFA03095"/>
      <color rgb="FFFF6600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14999847407452621"/>
  </sheetPr>
  <dimension ref="A1:Y126"/>
  <sheetViews>
    <sheetView showGridLines="0" tabSelected="1" workbookViewId="0">
      <selection activeCell="A9" sqref="A9"/>
    </sheetView>
  </sheetViews>
  <sheetFormatPr defaultColWidth="9.1796875" defaultRowHeight="15.5"/>
  <cols>
    <col min="1" max="1" width="13.1796875" style="11" customWidth="1"/>
    <col min="2" max="2" width="9.1796875" style="11"/>
    <col min="3" max="3" width="9.1796875" style="11" customWidth="1"/>
    <col min="4" max="16384" width="9.1796875" style="11"/>
  </cols>
  <sheetData>
    <row r="1" spans="1:18">
      <c r="A1" s="12" t="s">
        <v>1256</v>
      </c>
    </row>
    <row r="2" spans="1:18">
      <c r="A2" s="244" t="s">
        <v>1257</v>
      </c>
    </row>
    <row r="4" spans="1:18" s="1" customFormat="1">
      <c r="A4" s="3" t="s">
        <v>3</v>
      </c>
      <c r="B4" s="4"/>
      <c r="C4" s="4"/>
      <c r="D4" s="2"/>
      <c r="E4" s="2"/>
      <c r="F4" s="2"/>
      <c r="G4" s="5"/>
      <c r="H4" s="5"/>
      <c r="I4" s="5"/>
      <c r="J4" s="5"/>
      <c r="K4" s="5"/>
      <c r="L4" s="2"/>
    </row>
    <row r="5" spans="1:18" s="1" customFormat="1">
      <c r="A5" s="6" t="s">
        <v>4</v>
      </c>
      <c r="B5" s="4"/>
      <c r="C5" s="4"/>
      <c r="D5" s="2"/>
      <c r="E5" s="2"/>
      <c r="F5" s="2"/>
      <c r="G5" s="5"/>
      <c r="H5" s="5"/>
      <c r="I5" s="5"/>
      <c r="J5" s="5"/>
      <c r="K5" s="5"/>
      <c r="L5" s="2"/>
    </row>
    <row r="6" spans="1:18" s="1" customFormat="1">
      <c r="A6" s="68"/>
      <c r="B6" s="242"/>
      <c r="C6" s="242"/>
      <c r="D6" s="70"/>
      <c r="E6" s="70"/>
      <c r="F6" s="70"/>
      <c r="G6" s="167"/>
      <c r="H6" s="167"/>
      <c r="I6" s="167"/>
      <c r="J6" s="167"/>
      <c r="K6" s="167"/>
      <c r="L6" s="70"/>
      <c r="M6" s="168"/>
      <c r="N6" s="168"/>
      <c r="O6" s="168"/>
      <c r="P6" s="168"/>
      <c r="Q6" s="168"/>
      <c r="R6" s="168"/>
    </row>
    <row r="7" spans="1:18" s="1" customFormat="1">
      <c r="A7" s="7" t="s">
        <v>0</v>
      </c>
      <c r="B7" s="514" t="s">
        <v>1</v>
      </c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</row>
    <row r="8" spans="1:18" s="1" customFormat="1">
      <c r="A8" s="8"/>
      <c r="B8" s="519" t="s">
        <v>2</v>
      </c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</row>
    <row r="9" spans="1:18" s="1" customFormat="1">
      <c r="A9" s="9" t="s">
        <v>73</v>
      </c>
      <c r="B9" s="522" t="s">
        <v>1260</v>
      </c>
      <c r="C9" s="522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</row>
    <row r="10" spans="1:18" s="1" customFormat="1">
      <c r="A10" s="10"/>
      <c r="B10" s="524" t="s">
        <v>1261</v>
      </c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5"/>
      <c r="O10" s="525"/>
      <c r="P10" s="525"/>
      <c r="Q10" s="525"/>
      <c r="R10" s="525"/>
    </row>
    <row r="11" spans="1:18" s="1" customFormat="1">
      <c r="A11" s="9" t="s">
        <v>74</v>
      </c>
      <c r="B11" s="513" t="s">
        <v>1262</v>
      </c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</row>
    <row r="12" spans="1:18" s="1" customFormat="1">
      <c r="A12" s="10"/>
      <c r="B12" s="515" t="s">
        <v>1263</v>
      </c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</row>
    <row r="13" spans="1:18" s="1" customFormat="1">
      <c r="A13" s="9" t="s">
        <v>75</v>
      </c>
      <c r="B13" s="513" t="s">
        <v>1264</v>
      </c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</row>
    <row r="14" spans="1:18" s="1" customFormat="1">
      <c r="A14" s="10"/>
      <c r="B14" s="515" t="s">
        <v>1265</v>
      </c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6"/>
    </row>
    <row r="15" spans="1:18" s="1" customFormat="1">
      <c r="A15" s="9" t="s">
        <v>76</v>
      </c>
      <c r="B15" s="513" t="s">
        <v>1266</v>
      </c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</row>
    <row r="16" spans="1:18" s="1" customFormat="1">
      <c r="A16" s="10"/>
      <c r="B16" s="517" t="s">
        <v>1351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</row>
    <row r="17" spans="1:25" s="1" customFormat="1">
      <c r="A17" s="9" t="s">
        <v>77</v>
      </c>
      <c r="B17" s="513" t="s">
        <v>1267</v>
      </c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</row>
    <row r="18" spans="1:25" s="1" customFormat="1">
      <c r="A18" s="10"/>
      <c r="B18" s="515" t="s">
        <v>1268</v>
      </c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</row>
    <row r="19" spans="1:25" s="1" customFormat="1">
      <c r="A19" s="9" t="s">
        <v>78</v>
      </c>
      <c r="B19" s="513" t="s">
        <v>1269</v>
      </c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</row>
    <row r="20" spans="1:25" s="1" customFormat="1">
      <c r="A20" s="10"/>
      <c r="B20" s="515" t="s">
        <v>1270</v>
      </c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516"/>
    </row>
    <row r="21" spans="1:25" s="1" customFormat="1">
      <c r="A21" s="9" t="s">
        <v>79</v>
      </c>
      <c r="B21" s="513" t="s">
        <v>1271</v>
      </c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</row>
    <row r="22" spans="1:25" s="1" customFormat="1">
      <c r="A22" s="10"/>
      <c r="B22" s="515" t="s">
        <v>1272</v>
      </c>
      <c r="C22" s="516"/>
      <c r="D22" s="516"/>
      <c r="E22" s="516"/>
      <c r="F22" s="516"/>
      <c r="G22" s="516"/>
      <c r="H22" s="516"/>
      <c r="I22" s="516"/>
      <c r="J22" s="516"/>
      <c r="K22" s="516"/>
      <c r="L22" s="516"/>
      <c r="M22" s="516"/>
      <c r="N22" s="516"/>
      <c r="O22" s="516"/>
      <c r="P22" s="516"/>
      <c r="Q22" s="516"/>
      <c r="R22" s="516"/>
      <c r="Y22" s="243"/>
    </row>
    <row r="23" spans="1:25">
      <c r="A23" s="8" t="s">
        <v>964</v>
      </c>
      <c r="B23" s="521" t="s">
        <v>1273</v>
      </c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73"/>
    </row>
    <row r="24" spans="1:25">
      <c r="A24" s="446"/>
      <c r="B24" s="520" t="s">
        <v>1274</v>
      </c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  <c r="O24" s="520"/>
      <c r="P24" s="520"/>
      <c r="Q24" s="520"/>
      <c r="R24" s="520"/>
      <c r="S24" s="73"/>
    </row>
    <row r="25" spans="1:25">
      <c r="A25" s="8" t="s">
        <v>965</v>
      </c>
      <c r="B25" s="513" t="s">
        <v>1275</v>
      </c>
      <c r="C25" s="514"/>
      <c r="D25" s="522"/>
      <c r="E25" s="522"/>
      <c r="F25" s="522"/>
      <c r="G25" s="522"/>
      <c r="H25" s="522"/>
      <c r="I25" s="522"/>
      <c r="J25" s="522"/>
      <c r="K25" s="522"/>
      <c r="L25" s="522"/>
      <c r="M25" s="522"/>
      <c r="N25" s="522"/>
      <c r="O25" s="522"/>
      <c r="P25" s="522"/>
      <c r="Q25" s="522"/>
      <c r="R25" s="522"/>
      <c r="S25" s="73"/>
    </row>
    <row r="26" spans="1:25">
      <c r="A26" s="8"/>
      <c r="B26" s="518" t="s">
        <v>1276</v>
      </c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73"/>
    </row>
    <row r="27" spans="1:25">
      <c r="A27" s="8" t="s">
        <v>235</v>
      </c>
      <c r="B27" s="513" t="s">
        <v>1277</v>
      </c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514"/>
      <c r="P27" s="514"/>
      <c r="Q27" s="514"/>
      <c r="R27" s="514"/>
      <c r="S27" s="73"/>
    </row>
    <row r="28" spans="1:25">
      <c r="A28" s="8"/>
      <c r="B28" s="518" t="s">
        <v>1278</v>
      </c>
      <c r="C28" s="519"/>
      <c r="D28" s="519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9"/>
      <c r="P28" s="519"/>
      <c r="Q28" s="519"/>
      <c r="R28" s="519"/>
      <c r="S28" s="73"/>
    </row>
    <row r="29" spans="1:25">
      <c r="A29" s="8" t="s">
        <v>236</v>
      </c>
      <c r="B29" s="513" t="s">
        <v>1388</v>
      </c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73"/>
    </row>
    <row r="30" spans="1:25">
      <c r="A30" s="8"/>
      <c r="B30" s="531" t="s">
        <v>1387</v>
      </c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73"/>
    </row>
    <row r="31" spans="1:25">
      <c r="A31" s="8" t="s">
        <v>966</v>
      </c>
      <c r="B31" s="513" t="s">
        <v>1279</v>
      </c>
      <c r="C31" s="514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73"/>
    </row>
    <row r="32" spans="1:25">
      <c r="A32" s="8"/>
      <c r="B32" s="518" t="s">
        <v>1280</v>
      </c>
      <c r="C32" s="519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  <c r="P32" s="520"/>
      <c r="Q32" s="520"/>
      <c r="R32" s="520"/>
      <c r="S32" s="73"/>
    </row>
    <row r="33" spans="1:19">
      <c r="A33" s="8" t="s">
        <v>967</v>
      </c>
      <c r="B33" s="526" t="s">
        <v>1281</v>
      </c>
      <c r="C33" s="527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73"/>
    </row>
    <row r="34" spans="1:19">
      <c r="A34" s="8"/>
      <c r="B34" s="518" t="s">
        <v>1282</v>
      </c>
      <c r="C34" s="519"/>
      <c r="D34" s="520"/>
      <c r="E34" s="520"/>
      <c r="F34" s="520"/>
      <c r="G34" s="520"/>
      <c r="H34" s="520"/>
      <c r="I34" s="520"/>
      <c r="J34" s="520"/>
      <c r="K34" s="520"/>
      <c r="L34" s="520"/>
      <c r="M34" s="520"/>
      <c r="N34" s="520"/>
      <c r="O34" s="520"/>
      <c r="P34" s="520"/>
      <c r="Q34" s="520"/>
      <c r="R34" s="520"/>
      <c r="S34" s="73"/>
    </row>
    <row r="35" spans="1:19">
      <c r="A35" s="8" t="s">
        <v>237</v>
      </c>
      <c r="B35" s="513" t="s">
        <v>1283</v>
      </c>
      <c r="C35" s="514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73"/>
    </row>
    <row r="36" spans="1:19">
      <c r="A36" s="8"/>
      <c r="B36" s="518" t="s">
        <v>1284</v>
      </c>
      <c r="C36" s="519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520"/>
      <c r="O36" s="520"/>
      <c r="P36" s="520"/>
      <c r="Q36" s="520"/>
      <c r="R36" s="520"/>
      <c r="S36" s="73"/>
    </row>
    <row r="37" spans="1:19">
      <c r="A37" s="7" t="s">
        <v>968</v>
      </c>
      <c r="B37" s="513" t="s">
        <v>1285</v>
      </c>
      <c r="C37" s="51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</row>
    <row r="38" spans="1:19">
      <c r="A38" s="8"/>
      <c r="B38" s="518" t="s">
        <v>1286</v>
      </c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</row>
    <row r="39" spans="1:19">
      <c r="A39" s="7" t="s">
        <v>265</v>
      </c>
      <c r="B39" s="513" t="s">
        <v>1287</v>
      </c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</row>
    <row r="40" spans="1:19">
      <c r="A40" s="8"/>
      <c r="B40" s="518" t="s">
        <v>1288</v>
      </c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</row>
    <row r="41" spans="1:19">
      <c r="A41" s="7" t="s">
        <v>266</v>
      </c>
      <c r="B41" s="526" t="s">
        <v>1289</v>
      </c>
      <c r="C41" s="527"/>
      <c r="D41" s="527"/>
      <c r="E41" s="527"/>
      <c r="F41" s="527"/>
      <c r="G41" s="527"/>
      <c r="H41" s="527"/>
      <c r="I41" s="527"/>
      <c r="J41" s="527"/>
      <c r="K41" s="527"/>
      <c r="L41" s="527"/>
      <c r="M41" s="527"/>
      <c r="N41" s="527"/>
      <c r="O41" s="527"/>
      <c r="P41" s="527"/>
      <c r="Q41" s="527"/>
      <c r="R41" s="527"/>
    </row>
    <row r="42" spans="1:19">
      <c r="A42" s="8"/>
      <c r="B42" s="518" t="s">
        <v>1290</v>
      </c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  <c r="O42" s="519"/>
      <c r="P42" s="519"/>
      <c r="Q42" s="519"/>
      <c r="R42" s="519"/>
    </row>
    <row r="43" spans="1:19">
      <c r="A43" s="7" t="s">
        <v>267</v>
      </c>
      <c r="B43" s="513" t="s">
        <v>1291</v>
      </c>
      <c r="C43" s="514"/>
      <c r="D43" s="514"/>
      <c r="E43" s="514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514"/>
      <c r="Q43" s="514"/>
      <c r="R43" s="514"/>
    </row>
    <row r="44" spans="1:19">
      <c r="A44" s="8"/>
      <c r="B44" s="518" t="s">
        <v>1292</v>
      </c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  <c r="O44" s="519"/>
      <c r="P44" s="519"/>
      <c r="Q44" s="519"/>
      <c r="R44" s="519"/>
    </row>
    <row r="45" spans="1:19" customFormat="1" ht="14.5" customHeight="1">
      <c r="A45" s="8" t="s">
        <v>971</v>
      </c>
      <c r="B45" s="526" t="s">
        <v>1320</v>
      </c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</row>
    <row r="46" spans="1:19" customFormat="1" ht="14.5">
      <c r="A46" s="159"/>
      <c r="B46" s="528" t="s">
        <v>1293</v>
      </c>
      <c r="C46" s="529"/>
      <c r="D46" s="530"/>
      <c r="E46" s="530"/>
      <c r="F46" s="530"/>
      <c r="G46" s="530"/>
      <c r="H46" s="530"/>
      <c r="I46" s="530"/>
      <c r="J46" s="530"/>
      <c r="K46" s="530"/>
      <c r="L46" s="530"/>
      <c r="M46" s="530"/>
      <c r="N46" s="530"/>
      <c r="O46" s="530"/>
      <c r="P46" s="530"/>
      <c r="Q46" s="530"/>
      <c r="R46" s="530"/>
    </row>
    <row r="47" spans="1:19">
      <c r="A47" s="7" t="s">
        <v>972</v>
      </c>
      <c r="B47" s="513" t="s">
        <v>268</v>
      </c>
      <c r="C47" s="514"/>
      <c r="D47" s="514"/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514"/>
      <c r="Q47" s="514"/>
      <c r="R47" s="514"/>
    </row>
    <row r="48" spans="1:19">
      <c r="A48" s="8"/>
      <c r="B48" s="518" t="s">
        <v>269</v>
      </c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</row>
    <row r="49" spans="1:18">
      <c r="A49" s="8" t="s">
        <v>969</v>
      </c>
      <c r="B49" s="513" t="s">
        <v>270</v>
      </c>
      <c r="C49" s="514"/>
      <c r="D49" s="514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</row>
    <row r="50" spans="1:18">
      <c r="A50" s="8"/>
      <c r="B50" s="518" t="s">
        <v>271</v>
      </c>
      <c r="C50" s="519"/>
      <c r="D50" s="519"/>
      <c r="E50" s="519"/>
      <c r="F50" s="519"/>
      <c r="G50" s="519"/>
      <c r="H50" s="519"/>
      <c r="I50" s="519"/>
      <c r="J50" s="519"/>
      <c r="K50" s="519"/>
      <c r="L50" s="519"/>
      <c r="M50" s="519"/>
      <c r="N50" s="519"/>
      <c r="O50" s="519"/>
      <c r="P50" s="519"/>
      <c r="Q50" s="519"/>
      <c r="R50" s="519"/>
    </row>
    <row r="51" spans="1:18">
      <c r="A51" s="8" t="s">
        <v>333</v>
      </c>
      <c r="B51" s="513" t="s">
        <v>272</v>
      </c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</row>
    <row r="52" spans="1:18">
      <c r="A52" s="8"/>
      <c r="B52" s="518" t="s">
        <v>273</v>
      </c>
      <c r="C52" s="519"/>
      <c r="D52" s="519"/>
      <c r="E52" s="519"/>
      <c r="F52" s="519"/>
      <c r="G52" s="519"/>
      <c r="H52" s="519"/>
      <c r="I52" s="519"/>
      <c r="J52" s="519"/>
      <c r="K52" s="519"/>
      <c r="L52" s="519"/>
      <c r="M52" s="519"/>
      <c r="N52" s="519"/>
      <c r="O52" s="519"/>
      <c r="P52" s="519"/>
      <c r="Q52" s="519"/>
      <c r="R52" s="519"/>
    </row>
    <row r="53" spans="1:18">
      <c r="A53" s="8" t="s">
        <v>973</v>
      </c>
      <c r="B53" s="513" t="s">
        <v>274</v>
      </c>
      <c r="C53" s="514"/>
      <c r="D53" s="514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514"/>
    </row>
    <row r="54" spans="1:18">
      <c r="A54" s="8"/>
      <c r="B54" s="518" t="s">
        <v>955</v>
      </c>
      <c r="C54" s="519"/>
      <c r="D54" s="519"/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9"/>
      <c r="P54" s="519"/>
      <c r="Q54" s="519"/>
      <c r="R54" s="519"/>
    </row>
    <row r="55" spans="1:18">
      <c r="A55" s="8" t="s">
        <v>974</v>
      </c>
      <c r="B55" s="513" t="s">
        <v>275</v>
      </c>
      <c r="C55" s="514"/>
      <c r="D55" s="514"/>
      <c r="E55" s="514"/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</row>
    <row r="56" spans="1:18">
      <c r="A56" s="8"/>
      <c r="B56" s="518" t="s">
        <v>956</v>
      </c>
      <c r="C56" s="519"/>
      <c r="D56" s="519"/>
      <c r="E56" s="519"/>
      <c r="F56" s="519"/>
      <c r="G56" s="519"/>
      <c r="H56" s="519"/>
      <c r="I56" s="519"/>
      <c r="J56" s="519"/>
      <c r="K56" s="519"/>
      <c r="L56" s="519"/>
      <c r="M56" s="519"/>
      <c r="N56" s="519"/>
      <c r="O56" s="519"/>
      <c r="P56" s="519"/>
      <c r="Q56" s="519"/>
      <c r="R56" s="519"/>
    </row>
    <row r="57" spans="1:18">
      <c r="A57" s="8" t="s">
        <v>970</v>
      </c>
      <c r="B57" s="526" t="s">
        <v>276</v>
      </c>
      <c r="C57" s="527"/>
      <c r="D57" s="527"/>
      <c r="E57" s="527"/>
      <c r="F57" s="527"/>
      <c r="G57" s="527"/>
      <c r="H57" s="527"/>
      <c r="I57" s="527"/>
      <c r="J57" s="527"/>
      <c r="K57" s="527"/>
      <c r="L57" s="527"/>
      <c r="M57" s="527"/>
      <c r="N57" s="527"/>
      <c r="O57" s="527"/>
      <c r="P57" s="527"/>
      <c r="Q57" s="527"/>
      <c r="R57" s="527"/>
    </row>
    <row r="58" spans="1:18">
      <c r="A58" s="8"/>
      <c r="B58" s="519" t="s">
        <v>960</v>
      </c>
      <c r="C58" s="519"/>
      <c r="D58" s="519"/>
      <c r="E58" s="519"/>
      <c r="F58" s="519"/>
      <c r="G58" s="519"/>
      <c r="H58" s="519"/>
      <c r="I58" s="519"/>
      <c r="J58" s="519"/>
      <c r="K58" s="519"/>
      <c r="L58" s="519"/>
      <c r="M58" s="519"/>
      <c r="N58" s="519"/>
      <c r="O58" s="519"/>
      <c r="P58" s="519"/>
      <c r="Q58" s="519"/>
      <c r="R58" s="519"/>
    </row>
    <row r="59" spans="1:18">
      <c r="A59" s="8" t="s">
        <v>334</v>
      </c>
      <c r="B59" s="514" t="s">
        <v>277</v>
      </c>
      <c r="C59" s="514"/>
      <c r="D59" s="514"/>
      <c r="E59" s="514"/>
      <c r="F59" s="514"/>
      <c r="G59" s="514"/>
      <c r="H59" s="514"/>
      <c r="I59" s="514"/>
      <c r="J59" s="514"/>
      <c r="K59" s="514"/>
      <c r="L59" s="514"/>
      <c r="M59" s="514"/>
      <c r="N59" s="514"/>
      <c r="O59" s="514"/>
      <c r="P59" s="514"/>
      <c r="Q59" s="514"/>
      <c r="R59" s="514"/>
    </row>
    <row r="60" spans="1:18">
      <c r="A60" s="8"/>
      <c r="B60" s="519" t="s">
        <v>278</v>
      </c>
      <c r="C60" s="519"/>
      <c r="D60" s="519"/>
      <c r="E60" s="519"/>
      <c r="F60" s="519"/>
      <c r="G60" s="519"/>
      <c r="H60" s="519"/>
      <c r="I60" s="519"/>
      <c r="J60" s="519"/>
      <c r="K60" s="519"/>
      <c r="L60" s="519"/>
      <c r="M60" s="519"/>
      <c r="N60" s="519"/>
      <c r="O60" s="519"/>
      <c r="P60" s="519"/>
      <c r="Q60" s="519"/>
      <c r="R60" s="519"/>
    </row>
    <row r="61" spans="1:18">
      <c r="A61" s="8" t="s">
        <v>335</v>
      </c>
      <c r="B61" s="526" t="s">
        <v>1342</v>
      </c>
      <c r="C61" s="527"/>
      <c r="D61" s="527"/>
      <c r="E61" s="527"/>
      <c r="F61" s="527"/>
      <c r="G61" s="527"/>
      <c r="H61" s="527"/>
      <c r="I61" s="527"/>
      <c r="J61" s="527"/>
      <c r="K61" s="466"/>
      <c r="L61" s="466"/>
      <c r="M61" s="466"/>
      <c r="N61" s="466"/>
      <c r="O61" s="466"/>
      <c r="P61" s="466"/>
      <c r="Q61" s="466"/>
      <c r="R61" s="466"/>
    </row>
    <row r="62" spans="1:18">
      <c r="A62" s="8"/>
      <c r="B62" s="466" t="s">
        <v>1400</v>
      </c>
      <c r="C62" s="466"/>
      <c r="D62" s="466"/>
      <c r="E62" s="466"/>
      <c r="F62" s="466"/>
      <c r="G62" s="466"/>
      <c r="H62" s="466"/>
      <c r="I62" s="466"/>
      <c r="J62" s="466"/>
      <c r="K62" s="466"/>
      <c r="L62" s="466"/>
      <c r="M62" s="466"/>
      <c r="N62" s="466"/>
      <c r="O62" s="466"/>
      <c r="P62" s="466"/>
      <c r="Q62" s="466"/>
      <c r="R62" s="466"/>
    </row>
    <row r="63" spans="1:18" customFormat="1" ht="16.399999999999999" customHeight="1">
      <c r="A63" s="160" t="s">
        <v>975</v>
      </c>
      <c r="B63" s="514" t="s">
        <v>376</v>
      </c>
      <c r="C63" s="514"/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514"/>
      <c r="P63" s="514"/>
      <c r="Q63" s="514"/>
      <c r="R63" s="514"/>
    </row>
    <row r="64" spans="1:18" customFormat="1" ht="14.5">
      <c r="A64" s="9"/>
      <c r="B64" s="529" t="s">
        <v>957</v>
      </c>
      <c r="C64" s="529"/>
      <c r="D64" s="529"/>
      <c r="E64" s="529"/>
      <c r="F64" s="529"/>
      <c r="G64" s="529"/>
      <c r="H64" s="529"/>
      <c r="I64" s="529"/>
      <c r="J64" s="529"/>
      <c r="K64" s="529"/>
      <c r="L64" s="529"/>
      <c r="M64" s="529"/>
      <c r="N64" s="529"/>
      <c r="O64" s="529"/>
      <c r="P64" s="529"/>
      <c r="Q64" s="529"/>
      <c r="R64" s="529"/>
    </row>
    <row r="65" spans="1:19" customFormat="1" ht="14.5">
      <c r="A65" s="8" t="s">
        <v>1341</v>
      </c>
      <c r="B65" s="527" t="s">
        <v>958</v>
      </c>
      <c r="C65" s="527"/>
      <c r="D65" s="521"/>
      <c r="E65" s="521"/>
      <c r="F65" s="521"/>
      <c r="G65" s="521"/>
      <c r="H65" s="521"/>
      <c r="I65" s="521"/>
      <c r="J65" s="521"/>
      <c r="K65" s="521"/>
      <c r="L65" s="521"/>
      <c r="M65" s="521"/>
      <c r="N65" s="521"/>
      <c r="O65" s="521"/>
      <c r="P65" s="521"/>
      <c r="Q65" s="521"/>
      <c r="R65" s="521"/>
    </row>
    <row r="66" spans="1:19" customFormat="1" ht="14.5">
      <c r="A66" s="159"/>
      <c r="B66" s="529" t="s">
        <v>959</v>
      </c>
      <c r="C66" s="529"/>
      <c r="D66" s="530"/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530"/>
      <c r="P66" s="530"/>
      <c r="Q66" s="530"/>
      <c r="R66" s="530"/>
    </row>
    <row r="67" spans="1:19">
      <c r="A67" s="7" t="s">
        <v>1249</v>
      </c>
      <c r="B67" s="514" t="s">
        <v>1123</v>
      </c>
      <c r="C67" s="514"/>
      <c r="D67" s="514"/>
      <c r="E67" s="514"/>
      <c r="F67" s="514"/>
      <c r="G67" s="514"/>
      <c r="H67" s="514"/>
      <c r="I67" s="514"/>
      <c r="J67" s="514"/>
      <c r="K67" s="514"/>
      <c r="L67" s="514"/>
      <c r="M67" s="514"/>
      <c r="N67" s="514"/>
      <c r="O67" s="514"/>
      <c r="P67" s="514"/>
      <c r="Q67" s="514"/>
      <c r="R67" s="514"/>
    </row>
    <row r="68" spans="1:19">
      <c r="A68" s="8"/>
      <c r="B68" s="519" t="s">
        <v>1122</v>
      </c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</row>
    <row r="69" spans="1:19">
      <c r="A69" s="7" t="s">
        <v>1250</v>
      </c>
      <c r="B69" s="514" t="s">
        <v>1121</v>
      </c>
      <c r="C69" s="514"/>
      <c r="D69" s="514"/>
      <c r="E69" s="514"/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  <c r="Q69" s="514"/>
      <c r="R69" s="514"/>
    </row>
    <row r="70" spans="1:19">
      <c r="A70" s="8"/>
      <c r="B70" s="519" t="s">
        <v>1124</v>
      </c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  <c r="N70" s="519"/>
      <c r="O70" s="519"/>
      <c r="P70" s="519"/>
      <c r="Q70" s="519"/>
      <c r="R70" s="519"/>
    </row>
    <row r="71" spans="1:19">
      <c r="A71" s="7" t="s">
        <v>1251</v>
      </c>
      <c r="B71" s="514" t="s">
        <v>1125</v>
      </c>
      <c r="C71" s="514"/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  <c r="O71" s="514"/>
      <c r="P71" s="514"/>
      <c r="Q71" s="514"/>
      <c r="R71" s="514"/>
    </row>
    <row r="72" spans="1:19">
      <c r="A72" s="8"/>
      <c r="B72" s="519" t="s">
        <v>1126</v>
      </c>
      <c r="C72" s="519"/>
      <c r="D72" s="519"/>
      <c r="E72" s="519"/>
      <c r="F72" s="519"/>
      <c r="G72" s="519"/>
      <c r="H72" s="519"/>
      <c r="I72" s="519"/>
      <c r="J72" s="519"/>
      <c r="K72" s="519"/>
      <c r="L72" s="519"/>
      <c r="M72" s="519"/>
      <c r="N72" s="519"/>
      <c r="O72" s="519"/>
      <c r="P72" s="519"/>
      <c r="Q72" s="519"/>
      <c r="R72" s="519"/>
      <c r="S72" s="317"/>
    </row>
    <row r="73" spans="1:19">
      <c r="A73" s="8" t="s">
        <v>363</v>
      </c>
      <c r="B73" s="527" t="s">
        <v>1353</v>
      </c>
      <c r="C73" s="527"/>
      <c r="D73" s="527"/>
      <c r="E73" s="527"/>
      <c r="F73" s="527"/>
      <c r="G73" s="527"/>
      <c r="H73" s="527"/>
      <c r="I73" s="527"/>
      <c r="J73" s="527"/>
      <c r="K73" s="527"/>
      <c r="L73" s="527"/>
      <c r="M73" s="527"/>
      <c r="N73" s="527"/>
      <c r="O73" s="527"/>
      <c r="P73" s="527"/>
      <c r="Q73" s="277"/>
      <c r="R73" s="277"/>
    </row>
    <row r="74" spans="1:19">
      <c r="A74" s="8"/>
      <c r="B74" s="519" t="s">
        <v>991</v>
      </c>
      <c r="C74" s="519"/>
      <c r="D74" s="519"/>
      <c r="E74" s="519"/>
      <c r="F74" s="519"/>
      <c r="G74" s="519"/>
      <c r="H74" s="519"/>
      <c r="I74" s="519"/>
      <c r="J74" s="519"/>
      <c r="K74" s="519"/>
      <c r="L74" s="519"/>
      <c r="M74" s="519"/>
      <c r="N74" s="519"/>
      <c r="O74" s="519"/>
      <c r="P74" s="519"/>
      <c r="Q74" s="277"/>
      <c r="R74" s="277"/>
    </row>
    <row r="75" spans="1:19">
      <c r="A75" s="8" t="s">
        <v>976</v>
      </c>
      <c r="B75" s="527" t="s">
        <v>1352</v>
      </c>
      <c r="C75" s="527"/>
      <c r="D75" s="527"/>
      <c r="E75" s="527"/>
      <c r="F75" s="527"/>
      <c r="G75" s="527"/>
      <c r="H75" s="527"/>
      <c r="I75" s="527"/>
      <c r="J75" s="527"/>
      <c r="K75" s="527"/>
      <c r="L75" s="527"/>
      <c r="M75" s="527"/>
      <c r="N75" s="527"/>
      <c r="O75" s="527"/>
      <c r="P75" s="527"/>
      <c r="Q75" s="277"/>
      <c r="R75" s="277"/>
    </row>
    <row r="76" spans="1:19">
      <c r="A76" s="8"/>
      <c r="B76" s="519" t="s">
        <v>992</v>
      </c>
      <c r="C76" s="519"/>
      <c r="D76" s="519"/>
      <c r="E76" s="519"/>
      <c r="F76" s="519"/>
      <c r="G76" s="519"/>
      <c r="H76" s="519"/>
      <c r="I76" s="519"/>
      <c r="J76" s="519"/>
      <c r="K76" s="519"/>
      <c r="L76" s="519"/>
      <c r="M76" s="519"/>
      <c r="N76" s="519"/>
      <c r="O76" s="519"/>
      <c r="P76" s="519"/>
      <c r="Q76" s="277"/>
      <c r="R76" s="277"/>
    </row>
    <row r="77" spans="1:19" s="72" customFormat="1" ht="15" customHeight="1">
      <c r="A77" s="7" t="s">
        <v>1252</v>
      </c>
      <c r="B77" s="532" t="s">
        <v>374</v>
      </c>
      <c r="C77" s="533"/>
      <c r="D77" s="533"/>
      <c r="E77" s="533"/>
      <c r="F77" s="533"/>
      <c r="G77" s="533"/>
      <c r="H77" s="533"/>
      <c r="I77" s="533"/>
      <c r="J77" s="533"/>
      <c r="K77" s="533"/>
      <c r="L77" s="533"/>
      <c r="M77" s="533"/>
      <c r="N77" s="533"/>
      <c r="O77" s="533"/>
      <c r="P77" s="533"/>
      <c r="Q77" s="533"/>
      <c r="R77" s="533"/>
    </row>
    <row r="78" spans="1:19" s="72" customFormat="1" ht="13.75" customHeight="1">
      <c r="A78" s="8"/>
      <c r="B78" s="518" t="s">
        <v>375</v>
      </c>
      <c r="C78" s="519"/>
      <c r="D78" s="519"/>
      <c r="E78" s="519"/>
      <c r="F78" s="519"/>
      <c r="G78" s="519"/>
      <c r="H78" s="519"/>
      <c r="I78" s="519"/>
      <c r="J78" s="519"/>
      <c r="K78" s="519"/>
      <c r="L78" s="519"/>
      <c r="M78" s="519"/>
      <c r="N78" s="519"/>
      <c r="O78" s="519"/>
      <c r="P78" s="519"/>
      <c r="Q78" s="519"/>
      <c r="R78" s="519"/>
    </row>
    <row r="79" spans="1:19">
      <c r="A79" s="7" t="s">
        <v>1253</v>
      </c>
      <c r="B79" s="513" t="s">
        <v>362</v>
      </c>
      <c r="C79" s="514"/>
      <c r="D79" s="514"/>
      <c r="E79" s="514"/>
      <c r="F79" s="514"/>
      <c r="G79" s="514"/>
      <c r="H79" s="514"/>
      <c r="I79" s="514"/>
      <c r="J79" s="514"/>
      <c r="K79" s="514"/>
      <c r="L79" s="514"/>
      <c r="M79" s="514"/>
      <c r="N79" s="514"/>
      <c r="O79" s="514"/>
      <c r="P79" s="514"/>
      <c r="Q79" s="514"/>
      <c r="R79" s="514"/>
    </row>
    <row r="80" spans="1:19">
      <c r="A80" s="8"/>
      <c r="B80" s="518" t="s">
        <v>931</v>
      </c>
      <c r="C80" s="519"/>
      <c r="D80" s="519"/>
      <c r="E80" s="519"/>
      <c r="F80" s="519"/>
      <c r="G80" s="519"/>
      <c r="H80" s="519"/>
      <c r="I80" s="519"/>
      <c r="J80" s="519"/>
      <c r="K80" s="519"/>
      <c r="L80" s="519"/>
      <c r="M80" s="519"/>
      <c r="N80" s="519"/>
      <c r="O80" s="519"/>
      <c r="P80" s="519"/>
      <c r="Q80" s="519"/>
      <c r="R80" s="519"/>
    </row>
    <row r="81" spans="1:25">
      <c r="A81" s="7" t="s">
        <v>1254</v>
      </c>
      <c r="B81" s="526" t="s">
        <v>984</v>
      </c>
      <c r="C81" s="527"/>
      <c r="D81" s="527"/>
      <c r="E81" s="527"/>
      <c r="F81" s="527"/>
      <c r="G81" s="527"/>
      <c r="H81" s="527"/>
      <c r="I81" s="527"/>
      <c r="J81" s="527"/>
      <c r="K81" s="527"/>
      <c r="L81" s="527"/>
      <c r="M81" s="527"/>
      <c r="N81" s="527"/>
      <c r="O81" s="527"/>
      <c r="P81" s="527"/>
      <c r="Q81" s="527"/>
      <c r="R81" s="527"/>
      <c r="Y81" s="316"/>
    </row>
    <row r="82" spans="1:25">
      <c r="A82" s="8"/>
      <c r="B82" s="518" t="s">
        <v>986</v>
      </c>
      <c r="C82" s="519"/>
      <c r="D82" s="519"/>
      <c r="E82" s="519"/>
      <c r="F82" s="519"/>
      <c r="G82" s="519"/>
      <c r="H82" s="519"/>
      <c r="I82" s="519"/>
      <c r="J82" s="519"/>
      <c r="K82" s="519"/>
      <c r="L82" s="519"/>
      <c r="M82" s="519"/>
      <c r="N82" s="519"/>
      <c r="O82" s="519"/>
      <c r="P82" s="519"/>
      <c r="Q82" s="519"/>
      <c r="R82" s="519"/>
    </row>
    <row r="83" spans="1:25">
      <c r="A83" s="7" t="s">
        <v>1255</v>
      </c>
      <c r="B83" s="526" t="s">
        <v>365</v>
      </c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</row>
    <row r="84" spans="1:25">
      <c r="A84" s="8"/>
      <c r="B84" s="518" t="s">
        <v>932</v>
      </c>
      <c r="C84" s="519"/>
      <c r="D84" s="519"/>
      <c r="E84" s="519"/>
      <c r="F84" s="519"/>
      <c r="G84" s="519"/>
      <c r="H84" s="519"/>
      <c r="I84" s="519"/>
      <c r="J84" s="519"/>
      <c r="K84" s="519"/>
      <c r="L84" s="519"/>
      <c r="M84" s="519"/>
      <c r="N84" s="519"/>
      <c r="O84" s="519"/>
      <c r="P84" s="519"/>
      <c r="Q84" s="519"/>
      <c r="R84" s="519"/>
    </row>
    <row r="85" spans="1:25" ht="15" customHeight="1">
      <c r="A85" s="7" t="s">
        <v>1340</v>
      </c>
      <c r="B85" s="532" t="s">
        <v>364</v>
      </c>
      <c r="C85" s="533"/>
      <c r="D85" s="533"/>
      <c r="E85" s="533"/>
      <c r="F85" s="533"/>
      <c r="G85" s="533"/>
      <c r="H85" s="533"/>
      <c r="I85" s="533"/>
      <c r="J85" s="533"/>
      <c r="K85" s="533"/>
      <c r="L85" s="533"/>
      <c r="M85" s="533"/>
      <c r="N85" s="533"/>
      <c r="O85" s="533"/>
      <c r="P85" s="533"/>
      <c r="Q85" s="533"/>
      <c r="R85" s="533"/>
    </row>
    <row r="86" spans="1:25">
      <c r="A86" s="8"/>
      <c r="B86" s="518" t="s">
        <v>933</v>
      </c>
      <c r="C86" s="519"/>
      <c r="D86" s="519"/>
      <c r="E86" s="519"/>
      <c r="F86" s="519"/>
      <c r="G86" s="519"/>
      <c r="H86" s="519"/>
      <c r="I86" s="519"/>
      <c r="J86" s="519"/>
      <c r="K86" s="519"/>
      <c r="L86" s="519"/>
      <c r="M86" s="519"/>
      <c r="N86" s="519"/>
      <c r="O86" s="519"/>
      <c r="P86" s="519"/>
      <c r="Q86" s="519"/>
      <c r="R86" s="519"/>
    </row>
    <row r="87" spans="1:25">
      <c r="A87" s="97"/>
      <c r="B87" s="97"/>
      <c r="C87" s="97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</row>
    <row r="88" spans="1:25">
      <c r="A88" s="71"/>
      <c r="B88" s="257"/>
      <c r="C88" s="257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</row>
    <row r="89" spans="1:25">
      <c r="A89" s="97"/>
      <c r="B89" s="97"/>
      <c r="C89" s="97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</row>
    <row r="90" spans="1:25">
      <c r="B90" s="13"/>
      <c r="C90" s="13"/>
    </row>
    <row r="91" spans="1:25">
      <c r="A91" s="12"/>
      <c r="B91" s="12"/>
      <c r="C91" s="12"/>
      <c r="D91" s="278"/>
    </row>
    <row r="92" spans="1:25">
      <c r="B92" s="14"/>
      <c r="C92" s="14"/>
    </row>
    <row r="93" spans="1:25">
      <c r="A93" s="12"/>
      <c r="B93" s="12"/>
      <c r="C93" s="12"/>
    </row>
    <row r="94" spans="1:25">
      <c r="B94" s="13"/>
      <c r="C94" s="13"/>
    </row>
    <row r="95" spans="1:25">
      <c r="A95" s="12"/>
      <c r="B95" s="12"/>
      <c r="C95" s="12"/>
    </row>
    <row r="96" spans="1:25">
      <c r="B96" s="13"/>
      <c r="C96" s="13"/>
    </row>
    <row r="97" spans="1:4">
      <c r="A97" s="12"/>
      <c r="B97" s="12"/>
      <c r="C97" s="12"/>
    </row>
    <row r="98" spans="1:4">
      <c r="B98" s="13"/>
      <c r="C98" s="13"/>
    </row>
    <row r="99" spans="1:4">
      <c r="A99" s="12"/>
      <c r="B99" s="12"/>
      <c r="C99" s="12"/>
    </row>
    <row r="100" spans="1:4">
      <c r="B100" s="13"/>
      <c r="C100" s="13"/>
    </row>
    <row r="101" spans="1:4">
      <c r="A101" s="12"/>
      <c r="B101" s="12"/>
      <c r="C101" s="12"/>
    </row>
    <row r="102" spans="1:4">
      <c r="B102" s="13"/>
      <c r="C102" s="13"/>
      <c r="D102" s="12"/>
    </row>
    <row r="103" spans="1:4">
      <c r="A103" s="12"/>
      <c r="B103" s="12"/>
      <c r="C103" s="12"/>
    </row>
    <row r="104" spans="1:4">
      <c r="B104" s="13"/>
      <c r="C104" s="13"/>
      <c r="D104" s="12"/>
    </row>
    <row r="105" spans="1:4">
      <c r="A105" s="12"/>
      <c r="B105" s="12"/>
      <c r="C105" s="12"/>
    </row>
    <row r="106" spans="1:4">
      <c r="B106" s="13"/>
      <c r="C106" s="13"/>
    </row>
    <row r="107" spans="1:4">
      <c r="A107" s="12"/>
      <c r="B107" s="12"/>
      <c r="C107" s="12"/>
    </row>
    <row r="108" spans="1:4">
      <c r="B108" s="13"/>
      <c r="C108" s="13"/>
    </row>
    <row r="109" spans="1:4">
      <c r="A109" s="12"/>
      <c r="B109" s="15"/>
      <c r="C109" s="15"/>
    </row>
    <row r="110" spans="1:4">
      <c r="B110" s="13"/>
      <c r="C110" s="13"/>
      <c r="D110" s="16"/>
    </row>
    <row r="111" spans="1:4">
      <c r="A111" s="12"/>
      <c r="B111" s="17"/>
      <c r="C111" s="17"/>
    </row>
    <row r="112" spans="1:4">
      <c r="B112" s="13"/>
      <c r="C112" s="13"/>
    </row>
    <row r="113" spans="1:4">
      <c r="A113" s="12"/>
      <c r="B113" s="12"/>
      <c r="C113" s="12"/>
    </row>
    <row r="114" spans="1:4">
      <c r="B114" s="13"/>
      <c r="C114" s="13"/>
    </row>
    <row r="115" spans="1:4">
      <c r="A115" s="12"/>
      <c r="B115" s="12"/>
      <c r="C115" s="12"/>
    </row>
    <row r="116" spans="1:4">
      <c r="B116" s="18"/>
      <c r="C116" s="18"/>
    </row>
    <row r="117" spans="1:4">
      <c r="A117" s="12"/>
      <c r="B117" s="12"/>
      <c r="C117" s="12"/>
    </row>
    <row r="118" spans="1:4">
      <c r="B118" s="18"/>
      <c r="C118" s="18"/>
    </row>
    <row r="119" spans="1:4">
      <c r="A119" s="12"/>
      <c r="B119" s="12"/>
      <c r="C119" s="12"/>
    </row>
    <row r="120" spans="1:4">
      <c r="B120" s="13"/>
      <c r="C120" s="13"/>
      <c r="D120" s="19"/>
    </row>
    <row r="121" spans="1:4">
      <c r="A121" s="12"/>
      <c r="B121" s="17"/>
      <c r="C121" s="17"/>
    </row>
    <row r="122" spans="1:4">
      <c r="B122" s="13"/>
      <c r="C122" s="13"/>
    </row>
    <row r="123" spans="1:4">
      <c r="A123" s="12"/>
      <c r="B123" s="12"/>
      <c r="C123" s="12"/>
    </row>
    <row r="124" spans="1:4">
      <c r="B124" s="13"/>
      <c r="C124" s="13"/>
    </row>
    <row r="125" spans="1:4">
      <c r="A125" s="12"/>
      <c r="B125" s="12"/>
      <c r="C125" s="12"/>
    </row>
    <row r="126" spans="1:4">
      <c r="B126" s="13"/>
      <c r="C126" s="13"/>
    </row>
  </sheetData>
  <mergeCells count="79">
    <mergeCell ref="B63:R63"/>
    <mergeCell ref="B47:R47"/>
    <mergeCell ref="B48:R48"/>
    <mergeCell ref="B49:R49"/>
    <mergeCell ref="B50:R50"/>
    <mergeCell ref="B51:R51"/>
    <mergeCell ref="B55:R55"/>
    <mergeCell ref="B56:R56"/>
    <mergeCell ref="B57:R57"/>
    <mergeCell ref="B58:R58"/>
    <mergeCell ref="B59:R59"/>
    <mergeCell ref="B60:R60"/>
    <mergeCell ref="B61:J61"/>
    <mergeCell ref="B82:R82"/>
    <mergeCell ref="B83:R83"/>
    <mergeCell ref="B64:R64"/>
    <mergeCell ref="B65:R65"/>
    <mergeCell ref="B66:R66"/>
    <mergeCell ref="B77:R77"/>
    <mergeCell ref="B78:R78"/>
    <mergeCell ref="B79:R79"/>
    <mergeCell ref="B67:R67"/>
    <mergeCell ref="B71:R71"/>
    <mergeCell ref="B72:R72"/>
    <mergeCell ref="B73:P73"/>
    <mergeCell ref="B74:P74"/>
    <mergeCell ref="B75:P75"/>
    <mergeCell ref="B68:R68"/>
    <mergeCell ref="B69:R69"/>
    <mergeCell ref="B80:R80"/>
    <mergeCell ref="B81:R81"/>
    <mergeCell ref="B24:R24"/>
    <mergeCell ref="B25:R25"/>
    <mergeCell ref="B38:R38"/>
    <mergeCell ref="B39:R39"/>
    <mergeCell ref="B44:R44"/>
    <mergeCell ref="B33:R33"/>
    <mergeCell ref="B34:R34"/>
    <mergeCell ref="B35:R35"/>
    <mergeCell ref="B36:R36"/>
    <mergeCell ref="B41:R41"/>
    <mergeCell ref="B40:R40"/>
    <mergeCell ref="B52:R52"/>
    <mergeCell ref="B53:R53"/>
    <mergeCell ref="B54:R54"/>
    <mergeCell ref="B86:R86"/>
    <mergeCell ref="B45:R45"/>
    <mergeCell ref="B46:R46"/>
    <mergeCell ref="B26:R26"/>
    <mergeCell ref="B27:R27"/>
    <mergeCell ref="B28:R28"/>
    <mergeCell ref="B29:R29"/>
    <mergeCell ref="B30:R30"/>
    <mergeCell ref="B31:R31"/>
    <mergeCell ref="B42:R42"/>
    <mergeCell ref="B43:R43"/>
    <mergeCell ref="B84:R84"/>
    <mergeCell ref="B85:R85"/>
    <mergeCell ref="B76:P76"/>
    <mergeCell ref="B37:R37"/>
    <mergeCell ref="B70:R70"/>
    <mergeCell ref="B7:R7"/>
    <mergeCell ref="B9:R9"/>
    <mergeCell ref="B10:R10"/>
    <mergeCell ref="B11:R11"/>
    <mergeCell ref="B12:R12"/>
    <mergeCell ref="B8:R8"/>
    <mergeCell ref="B13:R13"/>
    <mergeCell ref="B14:R14"/>
    <mergeCell ref="B15:R15"/>
    <mergeCell ref="B16:R16"/>
    <mergeCell ref="B32:R32"/>
    <mergeCell ref="B23:R23"/>
    <mergeCell ref="B18:R18"/>
    <mergeCell ref="B19:R19"/>
    <mergeCell ref="B20:R20"/>
    <mergeCell ref="B21:R21"/>
    <mergeCell ref="B22:R22"/>
    <mergeCell ref="B17:R17"/>
  </mergeCells>
  <hyperlinks>
    <hyperlink ref="A11" location="TABL.3!A1" display="TABL. 3." xr:uid="{00000000-0004-0000-0000-000000000000}"/>
    <hyperlink ref="B11" location="I.3!A1" display="MIEJSCA NOCLEGOWE W TURYSTYCZNYCH OBIEKTACH  NOCLEGOWYCH" xr:uid="{00000000-0004-0000-0000-000001000000}"/>
    <hyperlink ref="B12" location="I.3!A1" display="BED PLACES IN TOURIST ACCOMMODATION ESTABLISHMENTS" xr:uid="{00000000-0004-0000-0000-000002000000}"/>
    <hyperlink ref="A13" location="TABL.4!A1" display="TABL. 4." xr:uid="{00000000-0004-0000-0000-000003000000}"/>
    <hyperlink ref="B13" location="I.4!A1" display="POKOJE W OBIEKTACH HOTELOWYCH WEDŁUG WOJEWÓDZTW" xr:uid="{00000000-0004-0000-0000-000004000000}"/>
    <hyperlink ref="B14" location="I.4!A1" display="ROOMS IN HOTELS AND SIMILAR ESTABLISHMENTS BY VOIVODSHIP" xr:uid="{00000000-0004-0000-0000-000005000000}"/>
    <hyperlink ref="A15" location="TABL.5!A1" display="TABL. 5." xr:uid="{00000000-0004-0000-0000-000006000000}"/>
    <hyperlink ref="B15" location="I.5!A1" display="HOTELE I ICH WYKORZYSTANIE WEDŁUG KATEGORII I WOJEWÓDZTW" xr:uid="{00000000-0004-0000-0000-000007000000}"/>
    <hyperlink ref="B16" location="I.5!A1" display="HOTELS AND THEIR OCCUPANCY BY CATEGORY AND VOIVODSHIP" xr:uid="{00000000-0004-0000-0000-000008000000}"/>
    <hyperlink ref="A17" location="TABL.6!A1" display="TABL. 6. " xr:uid="{00000000-0004-0000-0000-000009000000}"/>
    <hyperlink ref="B17" location="I.6!A1" display="SEKCJE, CZŁONKOWIE I ĆWICZĄCY W KLUBACH SPORTOWYCH SZKOLNEGO ZWIĄZKU SPORTOWEGO WEDŁUG WOJEWÓDZTW W 2018 R." xr:uid="{00000000-0004-0000-0000-00000A000000}"/>
    <hyperlink ref="B18" location="I.6!A1" display="SECTIONS, MEMBERS AND PERSONS PRACTISING SPORTS IN SPORTS CLUBS OF SCHOOL SPORTS ASSOCIATION BY VOIVODSHIP IN 2018" xr:uid="{00000000-0004-0000-0000-00000B000000}"/>
    <hyperlink ref="A19" location="TABL.7!A1" display="TABL. 7." xr:uid="{00000000-0004-0000-0000-00000C000000}"/>
    <hyperlink ref="B19" location="I.7!A1" display="TURYSTYCZNE OBIEKTY NOCLEGOWE W 2018 R. WEDŁUG PKD 2007 " xr:uid="{00000000-0004-0000-0000-00000D000000}"/>
    <hyperlink ref="B20" location="I.7!A1" display="TOURIST ACCOMMODATION ESTABLISHMENTS IN 2018 BY NACE 2007" xr:uid="{00000000-0004-0000-0000-00000E000000}"/>
    <hyperlink ref="A21" location="TABL.8!A1" display="TABL. 8." xr:uid="{00000000-0004-0000-0000-00000F000000}"/>
    <hyperlink ref="B21" location="I.8!A1" display="PLACÓWKI GASTRONOMICZNE W TURYSTYCZNYCH OBIEKTACH NOCLEGOWYCH" xr:uid="{00000000-0004-0000-0000-000010000000}"/>
    <hyperlink ref="B22" location="I.8!A1" display="CATERING UNITS IN TOURIST ACCOMMODATION ESTABLISHMENTS" xr:uid="{00000000-0004-0000-0000-000011000000}"/>
    <hyperlink ref="B10" location="I.2!A1" display="SECTIONS, MEMBERS AND PERSONS PRACTISING SPORTS IN SPORTS CLUBS BY REGION IN 2018" xr:uid="{00000000-0004-0000-0000-000012000000}"/>
    <hyperlink ref="B9" location="TABL.2!A1" display="SEKCJE, CZŁONKOWIE I ĆWICZĄCY W KLUBACH SPORTOWYCH WEDŁUG MAKROREGIONÓW W 2020 R." xr:uid="{00000000-0004-0000-0000-000013000000}"/>
    <hyperlink ref="A7" location="TABL.1!A1" display="TABL. 1. " xr:uid="{00000000-0004-0000-0000-000014000000}"/>
    <hyperlink ref="B8" location="I.2!A1" display="SECTIONS, MEMBERS AND PERSONS PRACTISING SPORTS IN SPORTS CLUBS BY REGION IN 2018" xr:uid="{00000000-0004-0000-0000-000015000000}"/>
    <hyperlink ref="B7" location="TABL.1!A1" display="PODSTAWOWE INFORMACJE DOTYCZĄCE KULTURY FIZYCZNEJ" xr:uid="{00000000-0004-0000-0000-000016000000}"/>
    <hyperlink ref="B10:M10" location="TABL.2!A1" display="SECTIONS, MEMBERS AND PERSONS PRACTISING SPORTS IN SPORTS CLUBS BY REGION IN 2020" xr:uid="{00000000-0004-0000-0000-000017000000}"/>
    <hyperlink ref="B11:O11" location="TABL.3!A1" display="SEKCJE, CZŁONKOWIE I ĆWICZĄCY W KLUBACH SPORTOWYCH WEDŁUG WOJEWÓDZTW W 2020 R." xr:uid="{00000000-0004-0000-0000-000018000000}"/>
    <hyperlink ref="B12:Q12" location="TABL.3!A1" display="SECTIONS, MEMBERS AND PERSONS PRACTISING SPORTS IN SPORTS CLUBS BY VOIVODSHIP IN 2020" xr:uid="{00000000-0004-0000-0000-000019000000}"/>
    <hyperlink ref="B13:R13" location="TABL.4!A1" display="SEKCJE, CZŁONKOWIE I ĆWICZĄCY W KLUBACH SPORTOWYCH AKADEMICKIEGO ZWIĄZKU SPORTOWEGO WEDŁUG WOJEWÓDZTW W 2020 R." xr:uid="{00000000-0004-0000-0000-00001A000000}"/>
    <hyperlink ref="B15:R15" location="TABL.5!A1" display="SEKCJE, CZŁONKOWIE I ĆWICZĄCY W KLUBACH SPORTOWYCH ZRZESZENIA „LUDOWE  ZESPOŁY  SPORTOWE” WEDŁUG WOJEWÓDZTW W 2020 R." xr:uid="{00000000-0004-0000-0000-00001B000000}"/>
    <hyperlink ref="B16:R16" location="TABL.5!A1" display="SECTIONS, MEMBERS AND PERSONS PRACTISING SPORTS IN SPORTS CLUBS OF „RURAL SPORTS CLUBS”  ASSOCIATION BY VOIVODSHIP IN 2020" xr:uid="{00000000-0004-0000-0000-00001C000000}"/>
    <hyperlink ref="B14:R14" location="TABL.4!A1" display="SECTIONS, MEMBERS AND PERSONS PRACTISING SPORTS IN SPORTS CLUBS OF UNIVERSITY SPORTS ASSOCIATION  BY VOIVODSHIP IN 2020" xr:uid="{00000000-0004-0000-0000-00001D000000}"/>
    <hyperlink ref="B17:R17" location="TABL.6!A1" display="SEKCJE, CZŁONKOWIE I ĆWICZĄCY W KLUBACH SPORTOWYCH SZKOLNEGO ZWIĄZKU SPORTOWEGO WEDŁUG WOJEWÓDZTW W 2020 R." xr:uid="{00000000-0004-0000-0000-00001E000000}"/>
    <hyperlink ref="B18:R18" location="TABL.6!A1" display="SECTIONS, MEMBERS AND PERSONS PRACTISING SPORTS IN SPORTS CLUBS OF SCHOOL SPORTS ASSOCIATION BY VOIVODSHIP IN 2020" xr:uid="{00000000-0004-0000-0000-00001F000000}"/>
    <hyperlink ref="B19:R19" location="TABL.7!A1" display="SEKCJE, CZŁONKOWIE I ĆWICZĄCY W UCZNIOWSKICH KLUBACH SPORTOWYCH WEDŁUG WOJEWÓDZTW W 2020 R." xr:uid="{00000000-0004-0000-0000-000020000000}"/>
    <hyperlink ref="B20:R20" location="TABL.7!A1" display="SECTIONS, MEMBERS AND PERSONS PRACTISING SPORTS IN STUDENT SPORTS CLUBS BY VOIVODSHIP IN 2020" xr:uid="{00000000-0004-0000-0000-000021000000}"/>
    <hyperlink ref="B21:R21" location="TABL.8!A1" display="SEKCJE, CZŁONKOWIE I ĆWICZĄCY W WYZNANIOWYCH KLUBACH SPORTOWYCH WEDŁUG WOJEWÓDZTW W 2020 R." xr:uid="{00000000-0004-0000-0000-000022000000}"/>
    <hyperlink ref="B22:R22" location="TABL.8!A1" display="SECTIONS, MEMBERS AND PERSONS PRACTISING SPORTS IN RELIGIOUS SPORTS CLUBS BY VOIVODSHIP IN 2020" xr:uid="{00000000-0004-0000-0000-000023000000}"/>
    <hyperlink ref="A25:B26" location="I.2!A1" display="TABL. I/2." xr:uid="{00000000-0004-0000-0000-000025000000}"/>
    <hyperlink ref="A27:B28" location="I.3!A1" display="TABL. I/3." xr:uid="{00000000-0004-0000-0000-000026000000}"/>
    <hyperlink ref="A31:B32" location="'I.5 '!A1" display="TABL. I/5. " xr:uid="{00000000-0004-0000-0000-000027000000}"/>
    <hyperlink ref="A33:B34" location="I.6!A1" display="TABL. I/6." xr:uid="{00000000-0004-0000-0000-000028000000}"/>
    <hyperlink ref="A35:B36" location="I.7!A1" display="TABL. I/7." xr:uid="{00000000-0004-0000-0000-000029000000}"/>
    <hyperlink ref="A23" location="TABL.9!A1" display="TABL. 9. " xr:uid="{00000000-0004-0000-0000-00002A000000}"/>
    <hyperlink ref="A25" location="TABL.10!A1" display="TABL. 10." xr:uid="{00000000-0004-0000-0000-00002B000000}"/>
    <hyperlink ref="B25" location="II.11!A1" display="WYBRANE RODZAJE SPORTÓW WEDŁUG WOJEWÓDZTW W 2018 R." xr:uid="{00000000-0004-0000-0000-00002C000000}"/>
    <hyperlink ref="B26" location="II.11!A1" display="SELECTED KINDS OF SPORTS BY VOIVODSHIP IN 2018" xr:uid="{00000000-0004-0000-0000-00002D000000}"/>
    <hyperlink ref="A27" location="TABL.11!A1" display="TABL. 11." xr:uid="{00000000-0004-0000-0000-00002E000000}"/>
    <hyperlink ref="B27" location="II.12!A1" display="SEKCJE I ĆWICZĄCY W KLUBACH SPORTOWYCH AKADEMICKIEGO ZWIĄZKU SPORTOWEGO WEDŁUG WYBRANYCH RODZAJÓW SPORTÓW W 2018 R." xr:uid="{00000000-0004-0000-0000-00002F000000}"/>
    <hyperlink ref="B28" location="II.12!A1" display="SECTIONS AND PERSONS PRACTISING SPORTS IN SPORTS CLUBS OF UNIVERSITY SPORTS ASSOCIATION  BY SELECTED KINDS OF SPORTS IN 2018" xr:uid="{00000000-0004-0000-0000-000030000000}"/>
    <hyperlink ref="A29" location="TABL.12!A1" display="TABL. 12." xr:uid="{00000000-0004-0000-0000-000031000000}"/>
    <hyperlink ref="B30" location="II.13!A1" display="SECTIONS AND PERSONS PRACTISING SPORTS IN SPORTS CLUBS OF „RURAL SPORTS CLUBS”  ASSOCIATION BY SELECTED KINDS OF SPORTS IN 2018" xr:uid="{00000000-0004-0000-0000-000032000000}"/>
    <hyperlink ref="A31" location="TABL.13!A1" display="TABL. 13. " xr:uid="{00000000-0004-0000-0000-000033000000}"/>
    <hyperlink ref="B31" location="II.14!A1" display="SEKCJE I ĆWICZĄCY W KLUBACH SPORTOWYCH SZKOLNEGO ZWIĄZKU SPORTOWEGO WEDŁUG WYBRANYCH RODZAJÓW SPORTÓW W 2018 R." xr:uid="{00000000-0004-0000-0000-000034000000}"/>
    <hyperlink ref="B32" location="II.14!A1" display="SECTIONS AND PERSONS PRACTISING SPORTS IN SPORTS CLUBS OF SCHOOL SPORTS ASSOCIATION BY SELECTED KINDS OF SPORTS IN 2018" xr:uid="{00000000-0004-0000-0000-000035000000}"/>
    <hyperlink ref="A33" location="TABL.14!A1" display="TABL. 14." xr:uid="{00000000-0004-0000-0000-000036000000}"/>
    <hyperlink ref="B33" location="II.15!A1" display="SEKCJE I ĆWICZĄCY W UCZNIOWSKICH KLUBACH SPORTOWYCH WEDŁUG WYBRANYCH RODZAJÓW SPORTÓW W 2018 R." xr:uid="{00000000-0004-0000-0000-000037000000}"/>
    <hyperlink ref="B34" location="II.15!A1" display="SECTIONS AND PERSONS PRACTISING SPORTS IN STUDENT SPORTS CLUBS BY SELECTED KINDS OF SPORTS IN 2018" xr:uid="{00000000-0004-0000-0000-000038000000}"/>
    <hyperlink ref="A35" location="TABL.15!A1" display="TABL. 15." xr:uid="{00000000-0004-0000-0000-000039000000}"/>
    <hyperlink ref="B35" location="II.16!A1" display="SEKCJE I ĆWICZĄCY W WYZNANIOWYCH KLUBACH SPORTOWYCH WEDŁUG WYBRANYCH RODZAJÓW SPORTÓW W 2018 R." xr:uid="{00000000-0004-0000-0000-00003A000000}"/>
    <hyperlink ref="B36" location="II.16!A1" display="SECTIONS AND PERSONS PRACTISING SPORTS IN RELIGIOUS SPORTS CLUBS BY SELECTED KINDS OF SPORTS IN 2018" xr:uid="{00000000-0004-0000-0000-00003B000000}"/>
    <hyperlink ref="B23" location="II.10!A1" display="SEKCJE SPORTOWE I ĆWICZĄCY W SEKCJACH WEDŁUG RODZAJÓW SPORTÓW 2018 R." xr:uid="{00000000-0004-0000-0000-00003C000000}"/>
    <hyperlink ref="B24" location="II.10!A1" display="SPORT SECTIONS AND PERSONS PRACTISING SPORTS IN SECTIONS BY KINDS OF SPORTS IN 2018" xr:uid="{00000000-0004-0000-0000-00003D000000}"/>
    <hyperlink ref="B29" location="II.13!A1" display="SEKCJE I ĆWICZĄCY W KLUBACH SPORTOWYCH ZRZESZENIA &quot;LUDOWE ZESPOŁY SPORTOWE&quot; WEDŁUG WYBRANYCH RODZAJÓW SPORTÓW W 2018 R." xr:uid="{00000000-0004-0000-0000-00003E000000}"/>
    <hyperlink ref="B23:R23" location="TABL.9!A1" display="SEKCJE SPORTOWE I ĆWICZĄCY W SEKCJACH WEDŁUG RODZAJÓW SPORTÓW 2022 R." xr:uid="{00000000-0004-0000-0000-00003F000000}"/>
    <hyperlink ref="B24:R24" location="TABL.9!A1" display="SPORT SECTIONS AND PERSONS PRACTISING SPORTS IN SECTIONS BY KINDS OF SPORTS IN 2022" xr:uid="{00000000-0004-0000-0000-000040000000}"/>
    <hyperlink ref="B25:R25" location="TABL.10!A1" display="WYBRANE RODZAJE SPORTÓW WEDŁUG WOJEWÓDZTW W 2022 R." xr:uid="{00000000-0004-0000-0000-000041000000}"/>
    <hyperlink ref="B27:R27" location="TABL.11!A1" display="SEKCJE I ĆWICZĄCY W KLUBACH SPORTOWYCH AKADEMICKIEGO ZWIĄZKU SPORTOWEGO WEDŁUG WYBRANYCH RODZAJÓW SPORTÓW W 2022 R." xr:uid="{00000000-0004-0000-0000-000042000000}"/>
    <hyperlink ref="B28:R28" location="TABL.11!A1" display="SECTIONS AND PERSONS PRACTISING SPORTS IN SPORTS CLUBS OF UNIVERSITY SPORTS ASSOCIATION BY SELECTED KINDS OF SPORTS IN 2022" xr:uid="{00000000-0004-0000-0000-000043000000}"/>
    <hyperlink ref="B26:R26" location="TABL.10!A1" display="SELECTED KINDS OF SPORTS BY VOIVODSHIP IN 2022" xr:uid="{00000000-0004-0000-0000-000044000000}"/>
    <hyperlink ref="B29:R29" location="TABL.12!A1" display="SEKCJE I ĆWICZĄCY W KLUBACH SPORTOWYCH ZRZESZENIA &quot;LUDOWE ZESPOŁY SPORTOWE&quot; WEDŁUG WYBRANYCH RODZAJÓW SPORTÓW W 2022 R." xr:uid="{00000000-0004-0000-0000-000045000000}"/>
    <hyperlink ref="B30:R30" location="TABL.12!A1" display="SECTIONS AND PERSONS PRACTISING SPORTS IN SPORTS CLUBS OF „RURAL SPORTS CLUBS” ASSOCIATION BY SELECTED KINDS OF SPORTS IN 2022" xr:uid="{00000000-0004-0000-0000-000046000000}"/>
    <hyperlink ref="B31:R31" location="TABL.13!A1" display="SEKCJE I ĆWICZĄCY W KLUBACH SPORTOWYCH SZKOLNEGO ZWIĄZKU SPORTOWEGO WEDŁUG WYBRANYCH RODZAJÓW SPORTÓW W 2022 R." xr:uid="{00000000-0004-0000-0000-000047000000}"/>
    <hyperlink ref="B32:R32" location="TABL.13!A1" display="SECTIONS AND PERSONS PRACTISING SPORTS IN SPORTS CLUBS OF SCHOOL SPORTS ASSOCIATION BY SELECTED KINDS OF SPORTS IN 2022" xr:uid="{00000000-0004-0000-0000-000048000000}"/>
    <hyperlink ref="B33:R33" location="TABL.14!A1" display="SEKCJE I ĆWICZĄCY W UCZNIOWSKICH KLUBACH SPORTOWYCH WEDŁUG WYBRANYCH RODZAJÓW SPORTÓW W 2022 R." xr:uid="{00000000-0004-0000-0000-000049000000}"/>
    <hyperlink ref="B34:R34" location="TABL.14!A1" display="SECTIONS AND PERSONS PRACTISING SPORTS IN STUDENT SPORTS CLUBS BY SELECTED KINDS OF SPORTS IN 2022" xr:uid="{00000000-0004-0000-0000-00004A000000}"/>
    <hyperlink ref="B35:R35" location="TABL.15!A1" display="SEKCJE I ĆWICZĄCY W WYZNANIOWYCH KLUBACH SPORTOWYCH WEDŁUG WYBRANYCH RODZAJÓW SPORTÓW W 2022 R." xr:uid="{00000000-0004-0000-0000-00004B000000}"/>
    <hyperlink ref="B36:R36" location="TABL.15!A1" display="SECTIONS AND PERSONS PRACTISING SPORTS IN RELIGIOUS SPORTS CLUBS BY SELECTED KINDS OF SPORTS IN 2022" xr:uid="{00000000-0004-0000-0000-00004C000000}"/>
    <hyperlink ref="A37:B38" location="I.1!A1" display="TABL. I/1. " xr:uid="{00000000-0004-0000-0000-00004D000000}"/>
    <hyperlink ref="A37" location="TABL.16!A1" display="TABL. 16. " xr:uid="{00000000-0004-0000-0000-00004E000000}"/>
    <hyperlink ref="B39" location="III.18!A1" display="KADRA SZKOLENIOWA W KLUBACH SPORTOWYCH WEDŁUG REGIONÓW W 2018 R." xr:uid="{00000000-0004-0000-0000-00004F000000}"/>
    <hyperlink ref="B40" location="III.18!A1" display="COACHING STAFF IN SPORTS CLUBS BY REGION IN 2018" xr:uid="{00000000-0004-0000-0000-000050000000}"/>
    <hyperlink ref="B41" location="IIII.19!A1" display="KADRA SZKOLENIOWA W KLUBACH SPORTOWYCH WEDŁUG WOJEWÓDZTW W 2018 R." xr:uid="{00000000-0004-0000-0000-000051000000}"/>
    <hyperlink ref="B42" location="IIII.19!A1" display="COACHING STAFF IN SPORTS CLUBS BY VOIVODSHIP IN 2018" xr:uid="{00000000-0004-0000-0000-000052000000}"/>
    <hyperlink ref="B43" location="III.21!A1" display="KADRA SZKOLENIOWA1 W SEKCJACH SPORTOWYCH WEDŁUG RODZAJÓW SPORTÓW W 2018 R." xr:uid="{00000000-0004-0000-0000-000053000000}"/>
    <hyperlink ref="B44" location="III.21!A1" display="COACHING STAFF1 IN SPORTS SECTIONS BY KINDS OF SPORTS IN 2018" xr:uid="{00000000-0004-0000-0000-000054000000}"/>
    <hyperlink ref="B37" location="III.17!A1" display="KADRA SZKOLENIOWA I ADMINISTRACYJNA W KLUBACH SPORTOWYCH WEDŁUG WYBRANYCH PIONÓW SPORTOWYCH W 2018 R." xr:uid="{00000000-0004-0000-0000-000055000000}"/>
    <hyperlink ref="B38" location="III.17!A1" display="COACHING AND ADMINISTRATIVE STAFF IN SPORTS CLUBS BY SELECTED SPORTS DEPARTMENTS IN 2018" xr:uid="{00000000-0004-0000-0000-000056000000}"/>
    <hyperlink ref="A39" location="TABL.17!A1" display="TABL. 17. " xr:uid="{00000000-0004-0000-0000-000057000000}"/>
    <hyperlink ref="A41" location="TABL.18!A1" display="TABL. 18. " xr:uid="{00000000-0004-0000-0000-000058000000}"/>
    <hyperlink ref="A43" location="TABL.19!A1" display="TABL. 19. " xr:uid="{00000000-0004-0000-0000-000059000000}"/>
    <hyperlink ref="B41:P41" location="TABL.19!A1" display="KADRA SZKOLENIOWA W KLUBACH SPORTOWYCH WEDŁUG WOJEWÓDZTW W 2020 R." xr:uid="{00000000-0004-0000-0000-00005A000000}"/>
    <hyperlink ref="B42:P42" location="TABL.19!A1" display="COACHING STAFF IN SPORTS CLUBS BY VOIVODSHIP IN 2020" xr:uid="{00000000-0004-0000-0000-00005B000000}"/>
    <hyperlink ref="B37:P37" location="TABL.17!A1" display="KADRA SZKOLENIOWA I ADMINISTRACYJNA W KLUBACH SPORTOWYCH WEDŁUG WYBRANYCH PIONÓW SPORTOWYCH W 2020 R." xr:uid="{00000000-0004-0000-0000-00005C000000}"/>
    <hyperlink ref="B38:P38" location="TABL.17!A1" display="COACHING AND ADMINISTRATIVE STAFF IN SPORTS CLUBS BY SELECTED SPORTS DEPARTMENTS IN 2020" xr:uid="{00000000-0004-0000-0000-00005D000000}"/>
    <hyperlink ref="B39:P39" location="TABL.18!A1" display="KADRA SZKOLENIOWA I ADMINISTRACYJNA W KLUBACH SPORTOWYCH WEDŁUG MAKROREGIONÓW W 2020 R." xr:uid="{00000000-0004-0000-0000-00005E000000}"/>
    <hyperlink ref="B40:P40" location="TABL.18!A1" display="COACHING AND ADMINISTRATIVE STAFF IN SPORTS CLUBS BY REGION IN 2020" xr:uid="{00000000-0004-0000-0000-00005F000000}"/>
    <hyperlink ref="B43:P43" location="TABL.21!A1" display="KADRA SZKOLENIOWA1 W SEKCJACH SPORTOWYCH WEDŁUG RODZAJÓW SPORTÓW W 2020 R." xr:uid="{00000000-0004-0000-0000-000060000000}"/>
    <hyperlink ref="B44:P44" location="TABL.21!A1" display="COACHING STAFF1 IN SPORTS SECTIONS BY KINDS OF SPORTS IN 2020" xr:uid="{00000000-0004-0000-0000-000061000000}"/>
    <hyperlink ref="A49:B50" location="I.2!A1" display="TABL. I/2." xr:uid="{00000000-0004-0000-0000-000062000000}"/>
    <hyperlink ref="A51:B52" location="I.3!A1" display="TABL. I/3." xr:uid="{00000000-0004-0000-0000-000063000000}"/>
    <hyperlink ref="A53:B54" location="'I.4 '!A1" display="TABL. I/4." xr:uid="{00000000-0004-0000-0000-000064000000}"/>
    <hyperlink ref="A55:B56" location="'I.5 '!A1" display="TABL. I/5. " xr:uid="{00000000-0004-0000-0000-000065000000}"/>
    <hyperlink ref="A57:B58" location="I.6!A1" display="TABL. I/6." xr:uid="{00000000-0004-0000-0000-000066000000}"/>
    <hyperlink ref="A59:B60" location="I.7!A1" display="TABL. I/7." xr:uid="{00000000-0004-0000-0000-000067000000}"/>
    <hyperlink ref="A47" location="TABL.21!A1" display="TABL. 21. " xr:uid="{00000000-0004-0000-0000-000068000000}"/>
    <hyperlink ref="A49" location="TABL.22!A1" display="TABL. 22." xr:uid="{00000000-0004-0000-0000-000069000000}"/>
    <hyperlink ref="B49" location="IV.23!A1" display="ZAWODNICY ZAREJESTROWANI W POLSKICH ZWIĄZKACH SPORTOWYCH WEGŁUG REGIONÓW" xr:uid="{00000000-0004-0000-0000-00006A000000}"/>
    <hyperlink ref="B50" location="IV.23!A1" display="COMPETITORS  REGISTERED  IN  POLISH  SPORTS  ASSOCIATIONS  BY  REGION" xr:uid="{00000000-0004-0000-0000-00006B000000}"/>
    <hyperlink ref="A51" location="TABL.23!A1" display="TABL. 23." xr:uid="{00000000-0004-0000-0000-00006C000000}"/>
    <hyperlink ref="B51" location="IV.24!A1" display="ZAWODNICY ZAREJESTROWANI W POLSKICH ZWIĄZKACH SPORTOWYCH WEGŁUG WOJEWÓDZTW" xr:uid="{00000000-0004-0000-0000-00006D000000}"/>
    <hyperlink ref="B52" location="IV.24!A1" display="COMPETITORS REGISTERED IN POLISH SPORTS ASSOCIATIONS BY VOIVODSHIP" xr:uid="{00000000-0004-0000-0000-00006E000000}"/>
    <hyperlink ref="A53" location="TABL.24!A1" display="TABL. 24." xr:uid="{00000000-0004-0000-0000-00006F000000}"/>
    <hyperlink ref="B53" location="IV.25!A1" display="ZAWODNICY ZAREJESTROWANI W POLSKICH ZWIĄZKACH SPORTOWYCH WEGŁUG RODZAJÓW SPORTÓW" xr:uid="{00000000-0004-0000-0000-000070000000}"/>
    <hyperlink ref="B54" location="IV.25!A1" display="SECTIONS, MEMBERS AND PERSONS PRACTISING SPORTS IN SPORTS CLUBS OF „RURAL SPORTS CLUBS”  ASSOCIATION BY VOIVODSHIP IN 2018" xr:uid="{00000000-0004-0000-0000-000071000000}"/>
    <hyperlink ref="A55" location="TABL.25!A1" display="TABL. 25. " xr:uid="{00000000-0004-0000-0000-000072000000}"/>
    <hyperlink ref="B55" location="IV.26!A1" display="SĘDZIOWIE SPORTOWI W POLSKICH ZWIĄZKACH SPORTOWYCH WEDŁUG REGIONÓW" xr:uid="{00000000-0004-0000-0000-000073000000}"/>
    <hyperlink ref="B56" location="IV.26!A1" display="SPORTS JUDGES IN POLISH SPORTS ASSOCIATIONS BY REGION  " xr:uid="{00000000-0004-0000-0000-000074000000}"/>
    <hyperlink ref="A57" location="TABL.26!A1" display="TABL. 26." xr:uid="{00000000-0004-0000-0000-000075000000}"/>
    <hyperlink ref="B57" location="IV.27!A1" display="SĘDZIOWIE SPORTOWIA W POLSKICH ZWIĄZKACH SPORTOWYCH WEDŁUG WOJEWÓDZTW" xr:uid="{00000000-0004-0000-0000-000076000000}"/>
    <hyperlink ref="B58" location="IV.27!A1" display="SPORTS JUDGES IN POLISH SPORTS ASSOCIATIONS BY VOIVODSHIP  " xr:uid="{00000000-0004-0000-0000-000077000000}"/>
    <hyperlink ref="A59" location="TABL.27!A1" display="TABL. 27." xr:uid="{00000000-0004-0000-0000-000078000000}"/>
    <hyperlink ref="B59" location="IV.28!A1" display="SĘDZIOWIE SPORTOWI W POLSKICH ZWIĄZKACH SPORTOWYCH WEDŁUG RODZAJÓW SPORTÓW" xr:uid="{00000000-0004-0000-0000-000079000000}"/>
    <hyperlink ref="B60" location="IV.28!A1" display="SPORTS JUDGES IN POLISH SPORTS ASSOCIATIONS BY KINDS OF SPORTS" xr:uid="{00000000-0004-0000-0000-00007A000000}"/>
    <hyperlink ref="B48" location="IV.22!A1" display="MEMBERS OF THE NATIONAL TEAM IN POLISH SPORTS ASSOCIATIONS" xr:uid="{00000000-0004-0000-0000-00007B000000}"/>
    <hyperlink ref="B47" location="IV.22!A1" display="CZŁONKOWIE KADRY NARODOWEJ W POLSKICH ZWIĄZKACH SPORTOWYCH" xr:uid="{00000000-0004-0000-0000-00007C000000}"/>
    <hyperlink ref="B47:M47" location="TABL.22!A1" display="CZŁONKOWIE KADRY NARODOWEJ W POLSKICH ZWIĄZKACH SPORTOWYCH" xr:uid="{00000000-0004-0000-0000-00007D000000}"/>
    <hyperlink ref="B48:M48" location="TABL.22!A1" display="MEMBERS OF THE NATIONAL TEAM IN POLISH SPORTS ASSOCIATIONS" xr:uid="{00000000-0004-0000-0000-00007E000000}"/>
    <hyperlink ref="B49:M49" location="TABL.23!A1" display="ZAWODNICY ZAREJESTROWANI W POLSKICH ZWIĄZKACH SPORTOWYCH WEGŁUG MAKROREGIONÓW" xr:uid="{00000000-0004-0000-0000-00007F000000}"/>
    <hyperlink ref="B50:M50" location="TABL.23!A1" display="COMPETITORS REGISTERED IN POLISH SPORTS ASSOCIATIONS BY REGION" xr:uid="{00000000-0004-0000-0000-000080000000}"/>
    <hyperlink ref="B51:M51" location="TABL.24!A1" display="ZAWODNICY ZAREJESTROWANI W POLSKICH ZWIĄZKACH SPORTOWYCH WEGŁUG WOJEWÓDZTW" xr:uid="{00000000-0004-0000-0000-000081000000}"/>
    <hyperlink ref="B52:M52" location="TABL.24!A1" display="COMPETITORS REGISTERED IN POLISH SPORTS ASSOCIATIONS BY VOIVODSHIP" xr:uid="{00000000-0004-0000-0000-000082000000}"/>
    <hyperlink ref="B53:M53" location="TABL.25!A1" display="ZAWODNICY ZAREJESTROWANI W POLSKICH ZWIĄZKACH SPORTOWYCH WEGŁUG RODZAJÓW SPORTÓW" xr:uid="{00000000-0004-0000-0000-000083000000}"/>
    <hyperlink ref="B54:M54" location="TABL.25!A1" display="SCOMPETITORS  REGISTERED IN POLISH SPORTS ASSOCIATIONS BY KINDS OF SPORTS" xr:uid="{00000000-0004-0000-0000-000084000000}"/>
    <hyperlink ref="B55:M55" location="TABL.26!A1" display="SĘDZIOWIE SPORTOWI W POLSKICH ZWIĄZKACH SPORTOWYCH WEDŁUG MAKROREGIONÓW" xr:uid="{00000000-0004-0000-0000-000085000000}"/>
    <hyperlink ref="B56:M56" location="TABL.26!A1" display="SPORTS JUDGES IN POLISH SPORTS ASSOCIATIONS BY REGION  " xr:uid="{00000000-0004-0000-0000-000086000000}"/>
    <hyperlink ref="B57:M57" location="TABL.27!A1" display="SĘDZIOWIE SPORTOWI W POLSKICH ZWIĄZKACH SPORTOWYCH WEDŁUG WOJEWÓDZTW" xr:uid="{00000000-0004-0000-0000-000087000000}"/>
    <hyperlink ref="B58:M58" location="TABL.27!A1" display="SPORTS JUDGES IN POLISH SPORTS ASSOCIATIONS BY VOIVODSHIP  " xr:uid="{00000000-0004-0000-0000-000088000000}"/>
    <hyperlink ref="B59:M59" location="TABL.28!A1" display="SĘDZIOWIE SPORTOWI W POLSKICH ZWIĄZKACH SPORTOWYCH WEDŁUG RODZAJÓW SPORTÓW" xr:uid="{00000000-0004-0000-0000-000089000000}"/>
    <hyperlink ref="B60:M60" location="TABL.28!A1" display="SPORTS JUDGES IN POLISH SPORTS ASSOCIATIONS BY KINDS OF SPORTS" xr:uid="{00000000-0004-0000-0000-00008A000000}"/>
    <hyperlink ref="B68" location="V.29!A1" display="ACTIVITY OF SELECTED PHYSICAL EDUCATION ORGANIZATIONS BY VOIVODSHIP" xr:uid="{00000000-0004-0000-0000-00008C000000}"/>
    <hyperlink ref="B67" location="V.29!A1" display="DZIAŁALNOŚĆ WYBRANYCH ORGANIZACJI KULTURY FIZYCZNEJ WEDŁUG WOJEWÓDZTW" xr:uid="{00000000-0004-0000-0000-00008D000000}"/>
    <hyperlink ref="B70" location="V.29!A1" display="ACTIVITY OF SELECTED PHYSICAL EDUCATION ORGANIZATIONS BY VOIVODSHIP" xr:uid="{00000000-0004-0000-0000-00008F000000}"/>
    <hyperlink ref="B69" location="V.29!A1" display="DZIAŁALNOŚĆ WYBRANYCH ORGANIZACJI KULTURY FIZYCZNEJ WEDŁUG WOJEWÓDZTW" xr:uid="{00000000-0004-0000-0000-000090000000}"/>
    <hyperlink ref="B72" location="V.29!A1" display="ACTIVITY OF SELECTED PHYSICAL EDUCATION ORGANIZATIONS BY VOIVODSHIP" xr:uid="{00000000-0004-0000-0000-000092000000}"/>
    <hyperlink ref="B71" location="V.29!A1" display="DZIAŁALNOŚĆ WYBRANYCH ORGANIZACJI KULTURY FIZYCZNEJ WEDŁUG WOJEWÓDZTW" xr:uid="{00000000-0004-0000-0000-000093000000}"/>
    <hyperlink ref="B67:L67" location="TABL.29!A1" display="WYDATKI BUDŻETU PAŃSTWA I BUDŻETÓW JEDNOSTEK SAMORZĄDU TERYTORIALNEGO W DZIALE 926 KULTURA FIZYCZNA " xr:uid="{00000000-0004-0000-0000-000094000000}"/>
    <hyperlink ref="B68:K68" location="TABL.29!A1" display="ACTIVITY OF SELECTED PHYSICAL EDUCATION ORGANIZATIONS BY VOIVODSHIP" xr:uid="{00000000-0004-0000-0000-000095000000}"/>
    <hyperlink ref="B69:L69" location="TABL.30!A1" display="DZIAŁALNOŚĆ WYBRANYCH ORGANIZACJI KULTURY FIZYCZNEJ WEDŁUG WOJEWÓDZTW" xr:uid="{00000000-0004-0000-0000-000096000000}"/>
    <hyperlink ref="B70:K70" location="TABL.30!A1" display="ACTIVITY OF SELECTED PHYSICAL EDUCATION ORGANIZATIONS BY VOIVODSHIP" xr:uid="{00000000-0004-0000-0000-000097000000}"/>
    <hyperlink ref="B71:P71" location="TABL.31!A1" display="WYDATKI BUDŻETÓW JEDNOSTEK SAMORZĄDU TERYTORIALNEGO W DZIALE 926 KULTURA FIZYCZNA  WEDŁUG WOJEWÓDZTW" xr:uid="{00000000-0004-0000-0000-000098000000}"/>
    <hyperlink ref="B72:K72" location="TABL.31!A1" display="ACTIVITY OF SELECTED PHYSICAL EDUCATION ORGANIZATIONS BY VOIVODSHIP" xr:uid="{00000000-0004-0000-0000-000099000000}"/>
    <hyperlink ref="B79" location="V.29!A1" display="DZIAŁALNOŚĆ WYBRANYCH ORGANIZACJI KULTURY FIZYCZNEJ WEDŁUG WOJEWÓDZTW" xr:uid="{00000000-0004-0000-0000-00009B000000}"/>
    <hyperlink ref="B79:P79" location="TABL.32!A1" display="DZIAŁALNOŚĆ AKADEMICKIEGO ZWIĄZKU SPORTOWEGO WEDŁUG WOJEWÓDZTW" xr:uid="{00000000-0004-0000-0000-00009C000000}"/>
    <hyperlink ref="B81" location="V.29!A1" display="DZIAŁALNOŚĆ WYBRANYCH ORGANIZACJI KULTURY FIZYCZNEJ WEDŁUG WOJEWÓDZTW" xr:uid="{00000000-0004-0000-0000-00009E000000}"/>
    <hyperlink ref="B81:P81" location="TABL.33!A1" display="DZIAŁALNOŚĆ ZRZESZENIA &quot;LUDOWE ZESPOŁY SPORTOWE&quot; WEDŁUG WOJEWÓDZTW" xr:uid="{00000000-0004-0000-0000-00009F000000}"/>
    <hyperlink ref="B83" location="V.29!A1" display="DZIAŁALNOŚĆ WYBRANYCH ORGANIZACJI KULTURY FIZYCZNEJ WEDŁUG WOJEWÓDZTW" xr:uid="{00000000-0004-0000-0000-0000A1000000}"/>
    <hyperlink ref="B83:P83" location="TABL.34!A1" display=" DZIAŁALNOŚĆ POLSKIEGO ZWIĄZKU SPORTU NIEPEŁNOSPRAWNYCH &quot;START&quot; WEDŁUG WOJEWÓDZTW" xr:uid="{00000000-0004-0000-0000-0000A2000000}"/>
    <hyperlink ref="B85" location="V.29!A1" display="DZIAŁALNOŚĆ WYBRANYCH ORGANIZACJI KULTURY FIZYCZNEJ WEDŁUG WOJEWÓDZTW" xr:uid="{00000000-0004-0000-0000-0000A4000000}"/>
    <hyperlink ref="B85:P85" location="TABL.35!A1" display="DZIAŁALNOŚĆ TOWARZYSTWA KRZEWIENIA KULTURY FIZYCZNEJ WEDŁUG WOJEWÓDZTW" xr:uid="{00000000-0004-0000-0000-0000A5000000}"/>
    <hyperlink ref="B77" location="V.29!A1" display="DZIAŁALNOŚĆ WYBRANYCH ORGANIZACJI KULTURY FIZYCZNEJ WEDŁUG WOJEWÓDZTW" xr:uid="{00000000-0004-0000-0000-0000A7000000}"/>
    <hyperlink ref="B77:P77" location="TABL.38!A1" display="SPORTOWE IMPREZY MASOWE" xr:uid="{00000000-0004-0000-0000-0000A8000000}"/>
    <hyperlink ref="B63" location="VII.35!A1" display="MEDALE ZDOBYTE PRZEZ ZAWODNIKÓW POLSKICH NA MISTRZOSTWACH ŚWIATA I EUROPY" xr:uid="{00000000-0004-0000-0000-0000AA000000}"/>
    <hyperlink ref="B64" location="VIII.50!A1" display="MEDALS  WON  BY  POLISH  COMPETITORS  IN  THE  WORLD  AND  EUROPEAN CHAMPIONSHIPS" xr:uid="{00000000-0004-0000-0000-0000AB000000}"/>
    <hyperlink ref="B65" location="VII.36!A1" display="MEDALE  ZDOBYTE  PRZEZ  POLSKICH  SPORTOWCÓW  NIEPEŁNOSPRAWNYCH" xr:uid="{00000000-0004-0000-0000-0000AD000000}"/>
    <hyperlink ref="B78:N78" location="TABL.38!A1" display="SPORTS MASS EVENTS" xr:uid="{00000000-0004-0000-0000-0000AE000000}"/>
    <hyperlink ref="B63:N63" location="tabl.39!A1" display="MEDALE ZDOBYTE PRZEZ ZAWODNIKÓW POLSKICH NA MISTRZOSTWACH ŚWIATA I EUROPY" xr:uid="{00000000-0004-0000-0000-0000AF000000}"/>
    <hyperlink ref="B64:M64" location="tabl.39!A1" display="MEDALS  WON  BY  POLISH  COMPETITORS  IN  THE  WORLD  AND  EUROPEAN CHAMPIONSHIPS" xr:uid="{00000000-0004-0000-0000-0000B0000000}"/>
    <hyperlink ref="B65:M65" location="tabl.40!A1" display="  MEDALE  ZDOBYTE  PRZEZ  POLSKICH  SPORTOWCÓW  NIEPEŁNOSPRAWNYCH" xr:uid="{00000000-0004-0000-0000-0000B1000000}"/>
    <hyperlink ref="B66:M66" location="tabl.40!A1" display="  MEDALS  WON  BY  DISABLED  POLISH  COMPETITORS" xr:uid="{00000000-0004-0000-0000-0000B2000000}"/>
    <hyperlink ref="B8:M8" location="TABL.1!A1" display="BASIC INFORMATION ON PHYSICAL EDUCATION" xr:uid="{00000000-0004-0000-0000-0000B3000000}"/>
    <hyperlink ref="B80:N80" location="TABL.32!A1" display="ACTIVITY OF THE UNIVERSITY SPORTS ASSOCIATION BY VOIVODSHIP " xr:uid="{00000000-0004-0000-0000-0000B4000000}"/>
    <hyperlink ref="B82:N82" location="TABL.33!A1" display="ACTIVITY OF THE “RURAL SPORTS TEAMS” ASSOCIATION BY VOIVODSHIP" xr:uid="{00000000-0004-0000-0000-0000B5000000}"/>
    <hyperlink ref="B84:N84" location="TABL.34!A1" display="ACTIVITY OF THE POLISH SPORTS ASSOCIATION FOR THE DISABLED ’’START’’ BY VOIVODSHIP" xr:uid="{00000000-0004-0000-0000-0000B6000000}"/>
    <hyperlink ref="B86:N86" location="TABL.35!A1" display="ACTIVITY OF THE SOCIETY FOR PROMOTION OF PHYSICAL CULTURE BY VOIVODSHIP" xr:uid="{00000000-0004-0000-0000-0000B7000000}"/>
    <hyperlink ref="A9" location="TABL.2!A1" display="TABL. 2. " xr:uid="{00000000-0004-0000-0000-0000B8000000}"/>
    <hyperlink ref="A45" location="TABL.20!A1" display="TABL. 20." xr:uid="{00000000-0004-0000-0000-0000EA000000}"/>
    <hyperlink ref="B45" location="VII.36!A1" display="MEDALE  ZDOBYTE  PRZEZ  POLSKICH  SPORTOWCÓW  NIEPEŁNOSPRAWNYCH" xr:uid="{00000000-0004-0000-0000-0000EB000000}"/>
    <hyperlink ref="B45:M45" location="tabl.40!A1" display="  MEDALE  ZDOBYTE  PRZEZ  POLSKICH  SPORTOWCÓW  NIEPEŁNOSPRAWNYCH" xr:uid="{00000000-0004-0000-0000-0000EC000000}"/>
    <hyperlink ref="B45:P45" location="TABL.41!A1" display="SEKCJE, CZŁONKOWIE I ĆWICZACY W KLUBACH SPORTOWYCH WEDŁUG WOJEWÓDZTW, PODREGIONÓW I POWIATÓW W 2020 R ." xr:uid="{00000000-0004-0000-0000-0000ED000000}"/>
    <hyperlink ref="B46:M46" location="TABL.41!A1" display="SECTIONS, MEMBERS AND PERSONS PRACTISING SPORTS IN SPORTS CLUBS BY VOIVODSHIP,SUBREGION AND POWIAT IN 2020" xr:uid="{00000000-0004-0000-0000-0000EE000000}"/>
    <hyperlink ref="B37:R37" location="TABL.16!A1" display="KADRA SZKOLENIOWA I ADMINISTRACYJNA W KLUBACH SPORTOWYCH WEDŁUG WYBRANYCH PIONÓW SPORTOWYCH W 2022 R." xr:uid="{00000000-0004-0000-0000-0000EF000000}"/>
    <hyperlink ref="B38:R38" location="TABL.16!A1" display="COACHING AND ADMINISTRATIVE STAFF IN SPORTS CLUBS BY SELECTED SPORTS DEPARTMENTS IN 2022" xr:uid="{00000000-0004-0000-0000-0000F0000000}"/>
    <hyperlink ref="B39:R39" location="TABL.17!A1" display="KADRA SZKOLENIOWA I ADMINISTRACYJNA W KLUBACH SPORTOWYCH WEDŁUG MAKROREGIONÓW W 2022 R." xr:uid="{00000000-0004-0000-0000-0000F1000000}"/>
    <hyperlink ref="B40:R40" location="TABL.17!A1" display="COACHING AND ADMINISTRATIVE STAFF IN SPORTS CLUBS BY REGION IN 2022" xr:uid="{00000000-0004-0000-0000-0000F2000000}"/>
    <hyperlink ref="B41:R41" location="TABL.18!A1" display="KADRA SZKOLENIOWA W KLUBACH SPORTOWYCH WEDŁUG WOJEWÓDZTW W 2022 R." xr:uid="{00000000-0004-0000-0000-0000F3000000}"/>
    <hyperlink ref="B42:R42" location="TABL.18!A1" display="COACHING STAFF IN SPORTS CLUBS BY VOIVODSHIP IN 2022" xr:uid="{00000000-0004-0000-0000-0000F4000000}"/>
    <hyperlink ref="B43:R43" location="TABL.19!A1" display="KADRA SZKOLENIOWA W SEKCJACH SPORTOWYCH WEDŁUG RODZAJÓW SPORTÓW W 2022 R." xr:uid="{00000000-0004-0000-0000-0000F5000000}"/>
    <hyperlink ref="B44:R44" location="TABL.19!A1" display="COACHING STAFF1 IN SPORTS SECTIONS BY KINDS OF SPORTS IN 2022" xr:uid="{00000000-0004-0000-0000-0000F6000000}"/>
    <hyperlink ref="B85:R85" location="TABL.40!A1" display="DZIAŁALNOŚĆ TOWARZYSTWA KRZEWIENIA KULTURY FIZYCZNEJ WEDŁUG WOJEWÓDZTW" xr:uid="{00000000-0004-0000-0000-0000F7000000}"/>
    <hyperlink ref="B86:R86" location="TABL.39!A1" display="ACTIVITY OF THE SOCIETY FOR PROMOTION OF PHYSICAL CULTURE BY VOIVODSHIP" xr:uid="{00000000-0004-0000-0000-0000F8000000}"/>
    <hyperlink ref="B83:R83" location="TABL.39!A1" display="DZIAŁALNOŚĆ POLSKIEGO ZWIĄZKU SPORTU NIEPEŁNOSPRAWNYCH &quot;START&quot; WEDŁUG WOJEWÓDZTW" xr:uid="{00000000-0004-0000-0000-0000F9000000}"/>
    <hyperlink ref="B84:R84" location="TABL.38!A1" display="ACTIVITY OF THE POLISH SPORTS ASSOCIATION FOR THE DISABLED ’’START’’ BY VOIVODSHIP" xr:uid="{00000000-0004-0000-0000-0000FA000000}"/>
    <hyperlink ref="B81:R81" location="TABL.38!A1" display="DZIAŁALNOŚĆ KRAJOWEGO ZRZESZENIA LUDOWE ZESPOŁY SPORTOWE WEDŁUG WOJEWÓDZTW" xr:uid="{00000000-0004-0000-0000-0000FB000000}"/>
    <hyperlink ref="B82:R82" location="TABL.37!A1" display="ACTIVITY OF THE RURAL SPORTS TEAMS NATIONAL ASSOCIATION BY VOIVODSHIP" xr:uid="{00000000-0004-0000-0000-0000FC000000}"/>
    <hyperlink ref="B79:R79" location="TABL.37!A1" display="DZIAŁALNOŚĆ AKADEMICKIEGO ZWIĄZKU SPORTOWEGO WEDŁUG WOJEWÓDZTW" xr:uid="{00000000-0004-0000-0000-0000FD000000}"/>
    <hyperlink ref="B80:R80" location="TABL.36!A1" display="ACTIVITY OF THE UNIVERSITY SPORTS ASSOCIATION BY VOIVODSHIP " xr:uid="{00000000-0004-0000-0000-0000FE000000}"/>
    <hyperlink ref="B77:R77" location="TABL.36!A1" display="SPORTOWE IMPREZY MASOWE" xr:uid="{00000000-0004-0000-0000-0000FF000000}"/>
    <hyperlink ref="B78:R78" location="TABL.35!A1" display="SPORTS MASS EVENTS" xr:uid="{00000000-0004-0000-0000-000000010000}"/>
    <hyperlink ref="B45:R45" location="TABL.20!A1" display="SEKCJE, CZŁONKOWIE I ĆWICZACY W KLUBACH SPORTOWYCH WEDŁUG WOJEWÓDZTW, PODREGIONÓW I POWIATÓW W 2022 R ." xr:uid="{00000000-0004-0000-0000-000001010000}"/>
    <hyperlink ref="B46:R46" location="TABL.20!A1" display="SECTIONS, MEMBERS AND PERSONS PRACTISING SPORTS IN SPORTS CLUBS BY VOIVODSHIP,SUBREGION AND POWIAT IN 2022" xr:uid="{00000000-0004-0000-0000-000002010000}"/>
    <hyperlink ref="B47:R47" location="TABL.21!A1" display="CZŁONKOWIE KADRY NARODOWEJ W POLSKICH ZWIĄZKACH SPORTOWYCH" xr:uid="{00000000-0004-0000-0000-000003010000}"/>
    <hyperlink ref="B48:R48" location="TABL.21!A1" display="MEMBERS OF THE NATIONAL TEAM IN POLISH SPORTS ASSOCIATIONS" xr:uid="{00000000-0004-0000-0000-000004010000}"/>
    <hyperlink ref="B49:R49" location="TABL.22!A1" display="ZAWODNICY ZAREJESTROWANI W POLSKICH ZWIĄZKACH SPORTOWYCH WEGŁUG MAKROREGIONÓW" xr:uid="{00000000-0004-0000-0000-000005010000}"/>
    <hyperlink ref="B50:R50" location="TABL.22!A1" display="COMPETITORS REGISTERED IN POLISH SPORTS ASSOCIATIONS BY REGION" xr:uid="{00000000-0004-0000-0000-000006010000}"/>
    <hyperlink ref="B51:R51" location="TABL.23!A1" display="ZAWODNICY ZAREJESTROWANI W POLSKICH ZWIĄZKACH SPORTOWYCH WEGŁUG WOJEWÓDZTW" xr:uid="{00000000-0004-0000-0000-000007010000}"/>
    <hyperlink ref="B52:R52" location="TABL.23!A1" display="COMPETITORS REGISTERED IN POLISH SPORTS ASSOCIATIONS BY VOIVODSHIP" xr:uid="{00000000-0004-0000-0000-000008010000}"/>
    <hyperlink ref="B53:R53" location="TABL.24!A1" display="ZAWODNICY ZAREJESTROWANI W POLSKICH ZWIĄZKACH SPORTOWYCH WEGŁUG RODZAJÓW SPORTÓW" xr:uid="{00000000-0004-0000-0000-000009010000}"/>
    <hyperlink ref="B54:R54" location="TABL.24!A1" display="SCOMPETITORS REGISTERED IN POLISH SPORTS ASSOCIATIONS BY KINDS OF SPORTS" xr:uid="{00000000-0004-0000-0000-00000A010000}"/>
    <hyperlink ref="B55:R55" location="TABL.25!A1" display="SĘDZIOWIE SPORTOWI W POLSKICH ZWIĄZKACH SPORTOWYCH WEDŁUG MAKROREGIONÓW" xr:uid="{00000000-0004-0000-0000-00000B010000}"/>
    <hyperlink ref="B56:R56" location="TABL.25!A1" display="SPORTS JUDGES IN POLISH SPORTS ASSOCIATIONS BY REGION " xr:uid="{00000000-0004-0000-0000-00000C010000}"/>
    <hyperlink ref="B57:R57" location="TABL.26!A1" display="SĘDZIOWIE SPORTOWI W POLSKICH ZWIĄZKACH SPORTOWYCH WEDŁUG WOJEWÓDZTW" xr:uid="{00000000-0004-0000-0000-00000D010000}"/>
    <hyperlink ref="B58:R58" location="TABL.26!A1" display="SPORTS JUDGES IN POLISH SPORTS ASSOCIATIONS BY VOIVODSHIP " xr:uid="{00000000-0004-0000-0000-00000E010000}"/>
    <hyperlink ref="B59:R59" location="TABL.27!A1" display="SĘDZIOWIE SPORTOWI W POLSKICH ZWIĄZKACH SPORTOWYCH WEDŁUG RODZAJÓW SPORTÓW" xr:uid="{00000000-0004-0000-0000-00000F010000}"/>
    <hyperlink ref="B60:R60" location="TABL.27!A1" display="SPORTS JUDGES IN POLISH SPORTS ASSOCIATIONS BY KINDS OF SPORTS" xr:uid="{00000000-0004-0000-0000-000010010000}"/>
    <hyperlink ref="B67:R67" location="TABL.31!A1" display="WYDATKI BUDŻETU PAŃSTWA I BUDŻETÓW JEDNOSTEK SAMORZĄDU TERYTORIALNEGO W DZIALE 926 – KULTURA FIZYCZNA " xr:uid="{00000000-0004-0000-0000-000011010000}"/>
    <hyperlink ref="B68:R68" location="TABL.30!A1" display="STATE BUDGET AND LOCAL GOVERNMENT UNITS EXPENDITURE IN THE DIVISION 926 – PHYSICAL EDUCATION " xr:uid="{00000000-0004-0000-0000-000012010000}"/>
    <hyperlink ref="B69:R69" location="TABL.32!A1" display="WYDATKI BIEŻĄCE BUDŻETU PAŃSTWA I BUDŻETÓW JEDNOSTEK SAMORZĄDU TERYTORIALNEGO W DZIALE 926 – KULTURA FIZYCZNA" xr:uid="{00000000-0004-0000-0000-000013010000}"/>
    <hyperlink ref="B70:R70" location="TABL.31!A1" display="STATE BUDGET AND LOCAL GOVERNMENT UNITS CURRENT EXPENDITURE IN THE DIVISION 926 – PHYSICAL EDUCATION " xr:uid="{00000000-0004-0000-0000-000014010000}"/>
    <hyperlink ref="B63:R63" location="TABL.29!B1" display="MEDALE ZDOBYTE PRZEZ ZAWODNIKÓW POLSKICH NA MISTRZOSTWACH ŚWIATA I EUROPY" xr:uid="{00000000-0004-0000-0000-000015010000}"/>
    <hyperlink ref="B64:R64" location="TABL.28!A1" display="MEDALS WON BY POLISH COMPETITORS IN THE WORLD AND EUROPEAN CHAMPIONSHIPS" xr:uid="{00000000-0004-0000-0000-000016010000}"/>
    <hyperlink ref="B65:R65" location="TABL.30!A1" display="MEDALE ZDOBYTE PRZEZ POLSKICH SPORTOWCÓW NIEPEŁNOSPRAWNYCH" xr:uid="{00000000-0004-0000-0000-000017010000}"/>
    <hyperlink ref="B66:R66" location="TABL.29!A1" display="MEDALS WON BY DISABLED POLISH COMPETITORS" xr:uid="{00000000-0004-0000-0000-000018010000}"/>
    <hyperlink ref="B71:R71" location="TABL.33!A1" display="WYDATKI BUDŻETÓW JEDNOSTEK SAMORZĄDU TERYTORIALNEGO W DZIALE 926 – KULTURA FIZYCZNA WEDŁUG WOJEWÓDZTW" xr:uid="{00000000-0004-0000-0000-00001F010000}"/>
    <hyperlink ref="B72:R72" location="TABL.32!A1" display="EXPENDITURE FROM LOCAL GOVERNMENT UNITS IN THE 926 – PHYSICAL EDUCATION SECTION BY VOIVODSHIP" xr:uid="{00000000-0004-0000-0000-000020010000}"/>
    <hyperlink ref="B73" location="TABL.49!A1" display="SZKOŁY SPORTOWE I Z ODDZIAŁAMI SPORTOWYMI" xr:uid="{00000000-0004-0000-0000-000028010000}"/>
    <hyperlink ref="B74" location="TABL.49!A1" display="SPORTS SCHOOLS AND SCHOOLS WITH SPORTS SECTIONS" xr:uid="{00000000-0004-0000-0000-000029010000}"/>
    <hyperlink ref="B75" location="TABL.50!A1" display="SZKOŁY MISTRZOSTWA SPORTOWEGO I Z ODDZIAŁAMI MISTRZOSTWA SPORTOWEGO" xr:uid="{00000000-0004-0000-0000-00002B010000}"/>
    <hyperlink ref="B76" location="TABL.50!A1" display="SPORTS CHAMPIONSHIP SCHOOLS AND SCHOOLS WITH SPORTS CHAMPIONSHIP SECTIONS" xr:uid="{00000000-0004-0000-0000-00002C010000}"/>
    <hyperlink ref="A75" location="TABL.35!A1" display="TABL. 35. " xr:uid="{00000000-0004-0000-0000-00002A010000}"/>
    <hyperlink ref="A73" location="TABL.34!A1" display="TABL. 34. " xr:uid="{00000000-0004-0000-0000-000027010000}"/>
    <hyperlink ref="A65" location="TABL.30!A1" display="TABL. 30." xr:uid="{00000000-0004-0000-0000-0000AC000000}"/>
    <hyperlink ref="A77" location="TABL.36!A1" display="TABL. 36. " xr:uid="{00000000-0004-0000-0000-0000A6000000}"/>
    <hyperlink ref="A85" location="TABL.40!A1" display="TABL. 40. " xr:uid="{00000000-0004-0000-0000-0000A3000000}"/>
    <hyperlink ref="A83" location="TABL.39!A1" display="TABL. 39. " xr:uid="{00000000-0004-0000-0000-0000A0000000}"/>
    <hyperlink ref="A81" location="TABL.38!A1" display="TABL. 38. " xr:uid="{00000000-0004-0000-0000-00009D000000}"/>
    <hyperlink ref="A79" location="TABL.37!A1" display="TABL. 37. " xr:uid="{00000000-0004-0000-0000-00009A000000}"/>
    <hyperlink ref="A71" location="TABL.33!A1" display="TABL. 33. " xr:uid="{00000000-0004-0000-0000-000091000000}"/>
    <hyperlink ref="A69" location="TABL.32!A1" display="TABL. 32. " xr:uid="{00000000-0004-0000-0000-00008E000000}"/>
    <hyperlink ref="A67" location="TABL.31!A1" display="TABL. 31. " xr:uid="{00000000-0004-0000-0000-00008B000000}"/>
    <hyperlink ref="B73:P73" location="TABL.34!A1" display="SZKOŁY SPORTOWE I Z ODDZIAŁAMI SPORTOWYMI" xr:uid="{52373CF6-D759-4EB0-94AE-FD6668F01CE6}"/>
    <hyperlink ref="B74:P74" location="TABL.33!A1" display="SPORTS SCHOOLS AND SCHOOLS WITH SPORTS SECTIONS" xr:uid="{312E835E-3560-4683-A83B-630577F35D97}"/>
    <hyperlink ref="B75:P75" location="TABL.35!A1" display="SZKOŁY MISTRZOSTWA SPORTOWEGO I Z ODDZIAŁAMI MISTRZOSTWA SPORTOWEGO" xr:uid="{6CCD8225-61F6-4D33-8BA9-0E36F72BCE1D}"/>
    <hyperlink ref="B76:P76" location="TABL.34!A1" display="SPORTS CHAMPIONSHIP SCHOOLS AND SCHOOLS WITH SPORTS CHAMPIONSHIP SECTIONS" xr:uid="{00381830-2830-4312-9FBE-89E9E555822D}"/>
    <hyperlink ref="A63" location="TABL.29!A1" display="TABL. 29." xr:uid="{00000000-0004-0000-0000-0000A9000000}"/>
    <hyperlink ref="A61" location="TABL.28!A1" display="TABL. 28." xr:uid="{B8160A81-A3D7-45B5-A337-CA4D1081C828}"/>
    <hyperlink ref="B61" location="TABL28!A1" display="UDZIAŁ ZAWODNIKÓW POLSKICH W IGRZYSKACH XXXIII OLIMPIADY PARYŻ 2024" xr:uid="{E74C6F04-8B66-46EB-9A3B-D7BDF7FAE37D}"/>
    <hyperlink ref="B61:J61" location="TABL.28!A1" display="UDZIAŁ ZAWODNIKÓW POLSKICH W IGRZYSKACH XXXIII OLIMPIADY PARYŻ 2024" xr:uid="{2B42A926-7A54-4AA8-BB4A-A0F859EBC6A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K44"/>
  <sheetViews>
    <sheetView zoomScaleNormal="100" workbookViewId="0">
      <pane ySplit="6" topLeftCell="A7" activePane="bottomLeft" state="frozen"/>
      <selection sqref="A1:Q1"/>
      <selection pane="bottomLeft" activeCell="G3" sqref="G3:H3"/>
    </sheetView>
  </sheetViews>
  <sheetFormatPr defaultColWidth="9.1796875" defaultRowHeight="14.5"/>
  <cols>
    <col min="1" max="1" width="22.54296875" style="50" customWidth="1"/>
    <col min="2" max="6" width="11.1796875" style="50" customWidth="1"/>
    <col min="7" max="8" width="12.1796875" style="50" customWidth="1"/>
    <col min="9" max="16384" width="9.1796875" style="50"/>
  </cols>
  <sheetData>
    <row r="1" spans="1:10" s="39" customFormat="1" ht="27.65" customHeight="1">
      <c r="A1" s="545" t="s">
        <v>1163</v>
      </c>
      <c r="B1" s="545"/>
      <c r="C1" s="545"/>
      <c r="D1" s="545"/>
      <c r="E1" s="545"/>
      <c r="F1" s="545"/>
      <c r="G1" s="545"/>
      <c r="H1" s="545"/>
    </row>
    <row r="2" spans="1:10" s="39" customFormat="1" ht="26.25" customHeight="1">
      <c r="A2" s="546" t="s">
        <v>1164</v>
      </c>
      <c r="B2" s="546"/>
      <c r="C2" s="546"/>
      <c r="D2" s="546"/>
      <c r="E2" s="546"/>
      <c r="F2" s="546"/>
      <c r="G2" s="546"/>
      <c r="H2" s="546"/>
    </row>
    <row r="3" spans="1:10" s="39" customFormat="1" ht="32.5" customHeight="1">
      <c r="A3" s="59"/>
      <c r="B3" s="59"/>
      <c r="C3" s="59"/>
      <c r="D3" s="59"/>
      <c r="E3" s="59"/>
      <c r="F3" s="59"/>
      <c r="G3" s="537" t="s">
        <v>5</v>
      </c>
      <c r="H3" s="547"/>
    </row>
    <row r="4" spans="1:10" s="41" customFormat="1" ht="36.75" customHeight="1">
      <c r="A4" s="548" t="s">
        <v>6</v>
      </c>
      <c r="B4" s="539" t="s">
        <v>34</v>
      </c>
      <c r="C4" s="539" t="s">
        <v>35</v>
      </c>
      <c r="D4" s="539" t="s">
        <v>1133</v>
      </c>
      <c r="E4" s="543" t="s">
        <v>36</v>
      </c>
      <c r="F4" s="544"/>
      <c r="G4" s="544"/>
      <c r="H4" s="544"/>
      <c r="J4" s="48"/>
    </row>
    <row r="5" spans="1:10" s="41" customFormat="1" ht="33" customHeight="1">
      <c r="A5" s="549"/>
      <c r="B5" s="551"/>
      <c r="C5" s="551"/>
      <c r="D5" s="551"/>
      <c r="E5" s="539" t="s">
        <v>68</v>
      </c>
      <c r="F5" s="541" t="s">
        <v>37</v>
      </c>
      <c r="G5" s="543" t="s">
        <v>38</v>
      </c>
      <c r="H5" s="544"/>
    </row>
    <row r="6" spans="1:10" s="41" customFormat="1" ht="53.25" customHeight="1">
      <c r="A6" s="550"/>
      <c r="B6" s="540"/>
      <c r="C6" s="540"/>
      <c r="D6" s="540"/>
      <c r="E6" s="540"/>
      <c r="F6" s="542"/>
      <c r="G6" s="44" t="s">
        <v>39</v>
      </c>
      <c r="H6" s="45" t="s">
        <v>40</v>
      </c>
    </row>
    <row r="7" spans="1:10" s="41" customFormat="1" ht="20.5" customHeight="1">
      <c r="A7" s="46" t="s">
        <v>1165</v>
      </c>
      <c r="B7" s="180">
        <v>42</v>
      </c>
      <c r="C7" s="180">
        <v>67</v>
      </c>
      <c r="D7" s="180">
        <v>2589</v>
      </c>
      <c r="E7" s="180">
        <v>2917</v>
      </c>
      <c r="F7" s="180">
        <v>753</v>
      </c>
      <c r="G7" s="180">
        <v>2070</v>
      </c>
      <c r="H7" s="181">
        <v>630</v>
      </c>
    </row>
    <row r="8" spans="1:10" s="41" customFormat="1" ht="11.25" customHeight="1">
      <c r="A8" s="252">
        <v>2024</v>
      </c>
      <c r="B8" s="191">
        <v>49</v>
      </c>
      <c r="C8" s="191">
        <v>116</v>
      </c>
      <c r="D8" s="191">
        <v>5679</v>
      </c>
      <c r="E8" s="191">
        <v>5825</v>
      </c>
      <c r="F8" s="197">
        <v>1786</v>
      </c>
      <c r="G8" s="191">
        <v>5062</v>
      </c>
      <c r="H8" s="198">
        <v>1677</v>
      </c>
    </row>
    <row r="9" spans="1:10" s="41" customFormat="1" ht="14.25" customHeight="1">
      <c r="A9" s="54" t="s">
        <v>49</v>
      </c>
      <c r="B9" s="192">
        <v>3</v>
      </c>
      <c r="C9" s="192">
        <v>4</v>
      </c>
      <c r="D9" s="192">
        <v>112</v>
      </c>
      <c r="E9" s="192">
        <v>94</v>
      </c>
      <c r="F9" s="192">
        <v>59</v>
      </c>
      <c r="G9" s="192">
        <v>94</v>
      </c>
      <c r="H9" s="199">
        <v>59</v>
      </c>
    </row>
    <row r="10" spans="1:10" s="41" customFormat="1" ht="14.25" customHeight="1">
      <c r="A10" s="54" t="s">
        <v>50</v>
      </c>
      <c r="B10" s="192">
        <v>5</v>
      </c>
      <c r="C10" s="192">
        <v>6</v>
      </c>
      <c r="D10" s="192">
        <v>158</v>
      </c>
      <c r="E10" s="192">
        <v>140</v>
      </c>
      <c r="F10" s="200">
        <v>37</v>
      </c>
      <c r="G10" s="192">
        <v>115</v>
      </c>
      <c r="H10" s="201">
        <v>34</v>
      </c>
    </row>
    <row r="11" spans="1:10" s="41" customFormat="1" ht="14.25" customHeight="1">
      <c r="A11" s="54" t="s">
        <v>51</v>
      </c>
      <c r="B11" s="192">
        <v>2</v>
      </c>
      <c r="C11" s="192">
        <v>3</v>
      </c>
      <c r="D11" s="192">
        <v>100</v>
      </c>
      <c r="E11" s="192">
        <v>102</v>
      </c>
      <c r="F11" s="192">
        <v>47</v>
      </c>
      <c r="G11" s="192">
        <v>102</v>
      </c>
      <c r="H11" s="199">
        <v>47</v>
      </c>
    </row>
    <row r="12" spans="1:10" s="41" customFormat="1" ht="14.25" customHeight="1">
      <c r="A12" s="54" t="s">
        <v>52</v>
      </c>
      <c r="B12" s="200" t="s">
        <v>1074</v>
      </c>
      <c r="C12" s="200" t="s">
        <v>1074</v>
      </c>
      <c r="D12" s="200" t="s">
        <v>1074</v>
      </c>
      <c r="E12" s="200" t="s">
        <v>1074</v>
      </c>
      <c r="F12" s="200" t="s">
        <v>1074</v>
      </c>
      <c r="G12" s="200" t="s">
        <v>1074</v>
      </c>
      <c r="H12" s="201" t="s">
        <v>1074</v>
      </c>
      <c r="I12" s="55"/>
    </row>
    <row r="13" spans="1:10" s="41" customFormat="1" ht="14.25" customHeight="1">
      <c r="A13" s="54" t="s">
        <v>53</v>
      </c>
      <c r="B13" s="192">
        <v>3</v>
      </c>
      <c r="C13" s="192">
        <v>8</v>
      </c>
      <c r="D13" s="192">
        <v>406</v>
      </c>
      <c r="E13" s="192">
        <v>411</v>
      </c>
      <c r="F13" s="192">
        <v>120</v>
      </c>
      <c r="G13" s="192">
        <v>341</v>
      </c>
      <c r="H13" s="199">
        <v>100</v>
      </c>
    </row>
    <row r="14" spans="1:10" s="41" customFormat="1" ht="14.25" customHeight="1">
      <c r="A14" s="54" t="s">
        <v>54</v>
      </c>
      <c r="B14" s="192">
        <v>7</v>
      </c>
      <c r="C14" s="192">
        <v>17</v>
      </c>
      <c r="D14" s="192">
        <v>587</v>
      </c>
      <c r="E14" s="192">
        <v>629</v>
      </c>
      <c r="F14" s="192">
        <v>272</v>
      </c>
      <c r="G14" s="192">
        <v>536</v>
      </c>
      <c r="H14" s="199">
        <v>250</v>
      </c>
    </row>
    <row r="15" spans="1:10" s="41" customFormat="1" ht="14.25" customHeight="1">
      <c r="A15" s="56" t="s">
        <v>55</v>
      </c>
      <c r="B15" s="176">
        <v>3</v>
      </c>
      <c r="C15" s="176">
        <v>6</v>
      </c>
      <c r="D15" s="176">
        <v>527</v>
      </c>
      <c r="E15" s="176">
        <v>541</v>
      </c>
      <c r="F15" s="176">
        <v>44</v>
      </c>
      <c r="G15" s="174">
        <v>505</v>
      </c>
      <c r="H15" s="177">
        <v>44</v>
      </c>
      <c r="I15" s="55"/>
    </row>
    <row r="16" spans="1:10" s="41" customFormat="1" ht="14.25" customHeight="1">
      <c r="A16" s="56" t="s">
        <v>56</v>
      </c>
      <c r="B16" s="200" t="s">
        <v>1074</v>
      </c>
      <c r="C16" s="200" t="s">
        <v>1074</v>
      </c>
      <c r="D16" s="200" t="s">
        <v>1074</v>
      </c>
      <c r="E16" s="200" t="s">
        <v>1074</v>
      </c>
      <c r="F16" s="200" t="s">
        <v>1074</v>
      </c>
      <c r="G16" s="200" t="s">
        <v>1074</v>
      </c>
      <c r="H16" s="201" t="s">
        <v>1074</v>
      </c>
      <c r="I16" s="55"/>
    </row>
    <row r="17" spans="1:11" s="41" customFormat="1" ht="14.25" customHeight="1">
      <c r="A17" s="56" t="s">
        <v>57</v>
      </c>
      <c r="B17" s="176">
        <v>7</v>
      </c>
      <c r="C17" s="176">
        <v>7</v>
      </c>
      <c r="D17" s="176">
        <v>306</v>
      </c>
      <c r="E17" s="176">
        <v>521</v>
      </c>
      <c r="F17" s="176">
        <v>62</v>
      </c>
      <c r="G17" s="176">
        <v>373</v>
      </c>
      <c r="H17" s="177">
        <v>52</v>
      </c>
      <c r="I17" s="55"/>
    </row>
    <row r="18" spans="1:11" ht="14.25" customHeight="1">
      <c r="A18" s="56" t="s">
        <v>58</v>
      </c>
      <c r="B18" s="200">
        <v>1</v>
      </c>
      <c r="C18" s="200">
        <v>3</v>
      </c>
      <c r="D18" s="200">
        <v>280</v>
      </c>
      <c r="E18" s="200">
        <v>280</v>
      </c>
      <c r="F18" s="200">
        <v>130</v>
      </c>
      <c r="G18" s="200">
        <v>280</v>
      </c>
      <c r="H18" s="201">
        <v>130</v>
      </c>
      <c r="I18" s="55"/>
    </row>
    <row r="19" spans="1:11" ht="14.25" customHeight="1">
      <c r="A19" s="56" t="s">
        <v>59</v>
      </c>
      <c r="B19" s="176">
        <v>3</v>
      </c>
      <c r="C19" s="176">
        <v>12</v>
      </c>
      <c r="D19" s="176">
        <v>135</v>
      </c>
      <c r="E19" s="176">
        <v>127</v>
      </c>
      <c r="F19" s="176">
        <v>22</v>
      </c>
      <c r="G19" s="176">
        <v>85</v>
      </c>
      <c r="H19" s="177">
        <v>14</v>
      </c>
      <c r="I19" s="55"/>
    </row>
    <row r="20" spans="1:11" ht="14.25" customHeight="1">
      <c r="A20" s="56" t="s">
        <v>60</v>
      </c>
      <c r="B20" s="176">
        <v>6</v>
      </c>
      <c r="C20" s="176">
        <v>26</v>
      </c>
      <c r="D20" s="176">
        <v>1201</v>
      </c>
      <c r="E20" s="176">
        <v>1182</v>
      </c>
      <c r="F20" s="176">
        <v>578</v>
      </c>
      <c r="G20" s="176">
        <v>842</v>
      </c>
      <c r="H20" s="177">
        <v>533</v>
      </c>
      <c r="I20" s="55"/>
    </row>
    <row r="21" spans="1:11" ht="14.25" customHeight="1">
      <c r="A21" s="56" t="s">
        <v>61</v>
      </c>
      <c r="B21" s="200">
        <v>2</v>
      </c>
      <c r="C21" s="200">
        <v>6</v>
      </c>
      <c r="D21" s="200">
        <v>440</v>
      </c>
      <c r="E21" s="200">
        <v>440</v>
      </c>
      <c r="F21" s="200">
        <v>280</v>
      </c>
      <c r="G21" s="200">
        <v>440</v>
      </c>
      <c r="H21" s="201">
        <v>280</v>
      </c>
      <c r="I21" s="55"/>
    </row>
    <row r="22" spans="1:11" ht="14.25" customHeight="1">
      <c r="A22" s="56" t="s">
        <v>62</v>
      </c>
      <c r="B22" s="176">
        <v>3</v>
      </c>
      <c r="C22" s="176">
        <v>5</v>
      </c>
      <c r="D22" s="176">
        <v>90</v>
      </c>
      <c r="E22" s="176">
        <v>108</v>
      </c>
      <c r="F22" s="176">
        <v>51</v>
      </c>
      <c r="G22" s="176">
        <v>99</v>
      </c>
      <c r="H22" s="177">
        <v>50</v>
      </c>
      <c r="I22" s="55"/>
    </row>
    <row r="23" spans="1:11" ht="14.25" customHeight="1">
      <c r="A23" s="56" t="s">
        <v>63</v>
      </c>
      <c r="B23" s="176">
        <v>1</v>
      </c>
      <c r="C23" s="176">
        <v>2</v>
      </c>
      <c r="D23" s="176">
        <v>77</v>
      </c>
      <c r="E23" s="176">
        <v>70</v>
      </c>
      <c r="F23" s="176">
        <v>34</v>
      </c>
      <c r="G23" s="176">
        <v>70</v>
      </c>
      <c r="H23" s="177">
        <v>34</v>
      </c>
      <c r="I23" s="55"/>
    </row>
    <row r="24" spans="1:11" ht="14.25" customHeight="1">
      <c r="A24" s="56" t="s">
        <v>64</v>
      </c>
      <c r="B24" s="200">
        <v>3</v>
      </c>
      <c r="C24" s="200">
        <v>11</v>
      </c>
      <c r="D24" s="200">
        <v>1260</v>
      </c>
      <c r="E24" s="200">
        <v>1180</v>
      </c>
      <c r="F24" s="200">
        <v>50</v>
      </c>
      <c r="G24" s="200">
        <v>1180</v>
      </c>
      <c r="H24" s="201">
        <v>50</v>
      </c>
      <c r="I24" s="55"/>
    </row>
    <row r="25" spans="1:11" s="57" customFormat="1" ht="40.4" customHeight="1">
      <c r="A25" s="557" t="s">
        <v>66</v>
      </c>
      <c r="B25" s="558"/>
      <c r="C25" s="558"/>
      <c r="D25" s="558"/>
      <c r="E25" s="558"/>
      <c r="F25" s="558"/>
      <c r="G25" s="558"/>
      <c r="H25" s="559"/>
      <c r="I25" s="58"/>
      <c r="K25" s="50"/>
    </row>
    <row r="26" spans="1:11" s="57" customFormat="1" ht="19.399999999999999" customHeight="1">
      <c r="A26" s="46" t="s">
        <v>1161</v>
      </c>
      <c r="B26" s="182">
        <v>11</v>
      </c>
      <c r="C26" s="182">
        <v>19</v>
      </c>
      <c r="D26" s="182">
        <v>1182</v>
      </c>
      <c r="E26" s="182">
        <v>1225</v>
      </c>
      <c r="F26" s="182">
        <v>319</v>
      </c>
      <c r="G26" s="182">
        <v>803</v>
      </c>
      <c r="H26" s="183">
        <v>294</v>
      </c>
      <c r="I26" s="58"/>
    </row>
    <row r="27" spans="1:11" s="57" customFormat="1" ht="14.25" customHeight="1">
      <c r="A27" s="252">
        <v>2024</v>
      </c>
      <c r="B27" s="184">
        <v>20</v>
      </c>
      <c r="C27" s="184">
        <v>49</v>
      </c>
      <c r="D27" s="184">
        <v>3232</v>
      </c>
      <c r="E27" s="184">
        <v>3122</v>
      </c>
      <c r="F27" s="184">
        <v>1172</v>
      </c>
      <c r="G27" s="184">
        <v>3009</v>
      </c>
      <c r="H27" s="185">
        <v>1143</v>
      </c>
      <c r="I27" s="58"/>
    </row>
    <row r="28" spans="1:11" s="57" customFormat="1" ht="14.25" customHeight="1">
      <c r="A28" s="61" t="s">
        <v>49</v>
      </c>
      <c r="B28" s="186">
        <v>3</v>
      </c>
      <c r="C28" s="186">
        <v>4</v>
      </c>
      <c r="D28" s="186">
        <v>112</v>
      </c>
      <c r="E28" s="186">
        <v>94</v>
      </c>
      <c r="F28" s="189">
        <v>59</v>
      </c>
      <c r="G28" s="186">
        <v>94</v>
      </c>
      <c r="H28" s="190">
        <v>59</v>
      </c>
      <c r="I28" s="58"/>
    </row>
    <row r="29" spans="1:11" s="57" customFormat="1" ht="14.25" customHeight="1">
      <c r="A29" s="61" t="s">
        <v>50</v>
      </c>
      <c r="B29" s="200">
        <v>1</v>
      </c>
      <c r="C29" s="200">
        <v>1</v>
      </c>
      <c r="D29" s="200">
        <v>25</v>
      </c>
      <c r="E29" s="200">
        <v>24</v>
      </c>
      <c r="F29" s="200">
        <v>3</v>
      </c>
      <c r="G29" s="200">
        <v>9</v>
      </c>
      <c r="H29" s="201" t="s">
        <v>1074</v>
      </c>
      <c r="I29" s="58"/>
    </row>
    <row r="30" spans="1:11" s="57" customFormat="1" ht="14.25" customHeight="1">
      <c r="A30" s="61" t="s">
        <v>51</v>
      </c>
      <c r="B30" s="200">
        <v>1</v>
      </c>
      <c r="C30" s="200">
        <v>2</v>
      </c>
      <c r="D30" s="200">
        <v>80</v>
      </c>
      <c r="E30" s="200">
        <v>77</v>
      </c>
      <c r="F30" s="200">
        <v>47</v>
      </c>
      <c r="G30" s="200">
        <v>77</v>
      </c>
      <c r="H30" s="201">
        <v>47</v>
      </c>
      <c r="I30" s="58"/>
    </row>
    <row r="31" spans="1:11" s="57" customFormat="1" ht="14.25" customHeight="1">
      <c r="A31" s="61" t="s">
        <v>52</v>
      </c>
      <c r="B31" s="200" t="s">
        <v>1074</v>
      </c>
      <c r="C31" s="200" t="s">
        <v>1074</v>
      </c>
      <c r="D31" s="200" t="s">
        <v>1074</v>
      </c>
      <c r="E31" s="200" t="s">
        <v>1074</v>
      </c>
      <c r="F31" s="200" t="s">
        <v>1074</v>
      </c>
      <c r="G31" s="200" t="s">
        <v>1074</v>
      </c>
      <c r="H31" s="201" t="s">
        <v>1074</v>
      </c>
      <c r="I31" s="63"/>
    </row>
    <row r="32" spans="1:11" s="57" customFormat="1" ht="14.25" customHeight="1">
      <c r="A32" s="61" t="s">
        <v>53</v>
      </c>
      <c r="B32" s="186">
        <v>1</v>
      </c>
      <c r="C32" s="186">
        <v>3</v>
      </c>
      <c r="D32" s="186">
        <v>300</v>
      </c>
      <c r="E32" s="186">
        <v>300</v>
      </c>
      <c r="F32" s="186">
        <v>60</v>
      </c>
      <c r="G32" s="186">
        <v>260</v>
      </c>
      <c r="H32" s="188">
        <v>60</v>
      </c>
      <c r="I32" s="63"/>
    </row>
    <row r="33" spans="1:9" s="57" customFormat="1" ht="14.25" customHeight="1">
      <c r="A33" s="61" t="s">
        <v>54</v>
      </c>
      <c r="B33" s="200">
        <v>4</v>
      </c>
      <c r="C33" s="200">
        <v>12</v>
      </c>
      <c r="D33" s="200">
        <v>510</v>
      </c>
      <c r="E33" s="200">
        <v>510</v>
      </c>
      <c r="F33" s="200">
        <v>257</v>
      </c>
      <c r="G33" s="200">
        <v>482</v>
      </c>
      <c r="H33" s="201">
        <v>249</v>
      </c>
      <c r="I33" s="63"/>
    </row>
    <row r="34" spans="1:9" s="57" customFormat="1" ht="14.25" customHeight="1">
      <c r="A34" s="62" t="s">
        <v>55</v>
      </c>
      <c r="B34" s="200">
        <v>1</v>
      </c>
      <c r="C34" s="200">
        <v>4</v>
      </c>
      <c r="D34" s="200">
        <v>25</v>
      </c>
      <c r="E34" s="200">
        <v>25</v>
      </c>
      <c r="F34" s="200" t="s">
        <v>1074</v>
      </c>
      <c r="G34" s="200">
        <v>25</v>
      </c>
      <c r="H34" s="201" t="s">
        <v>1074</v>
      </c>
      <c r="I34" s="63"/>
    </row>
    <row r="35" spans="1:9" s="57" customFormat="1" ht="14.25" customHeight="1">
      <c r="A35" s="62" t="s">
        <v>56</v>
      </c>
      <c r="B35" s="200" t="s">
        <v>1074</v>
      </c>
      <c r="C35" s="200" t="s">
        <v>1074</v>
      </c>
      <c r="D35" s="200" t="s">
        <v>1074</v>
      </c>
      <c r="E35" s="200" t="s">
        <v>1074</v>
      </c>
      <c r="F35" s="200" t="s">
        <v>1074</v>
      </c>
      <c r="G35" s="200" t="s">
        <v>1074</v>
      </c>
      <c r="H35" s="201" t="s">
        <v>1074</v>
      </c>
      <c r="I35" s="63"/>
    </row>
    <row r="36" spans="1:9" s="57" customFormat="1" ht="14.25" customHeight="1">
      <c r="A36" s="62" t="s">
        <v>57</v>
      </c>
      <c r="B36" s="200" t="s">
        <v>1074</v>
      </c>
      <c r="C36" s="200" t="s">
        <v>1074</v>
      </c>
      <c r="D36" s="200" t="s">
        <v>1074</v>
      </c>
      <c r="E36" s="200" t="s">
        <v>1074</v>
      </c>
      <c r="F36" s="200" t="s">
        <v>1074</v>
      </c>
      <c r="G36" s="200" t="s">
        <v>1074</v>
      </c>
      <c r="H36" s="201" t="s">
        <v>1074</v>
      </c>
      <c r="I36" s="63"/>
    </row>
    <row r="37" spans="1:9" s="57" customFormat="1" ht="14.25" customHeight="1">
      <c r="A37" s="62" t="s">
        <v>58</v>
      </c>
      <c r="B37" s="200" t="s">
        <v>1074</v>
      </c>
      <c r="C37" s="200" t="s">
        <v>1074</v>
      </c>
      <c r="D37" s="200" t="s">
        <v>1074</v>
      </c>
      <c r="E37" s="200" t="s">
        <v>1074</v>
      </c>
      <c r="F37" s="200" t="s">
        <v>1074</v>
      </c>
      <c r="G37" s="200" t="s">
        <v>1074</v>
      </c>
      <c r="H37" s="201" t="s">
        <v>1074</v>
      </c>
      <c r="I37" s="63"/>
    </row>
    <row r="38" spans="1:9" s="57" customFormat="1" ht="14.25" customHeight="1">
      <c r="A38" s="62" t="s">
        <v>59</v>
      </c>
      <c r="B38" s="200">
        <v>1</v>
      </c>
      <c r="C38" s="200">
        <v>2</v>
      </c>
      <c r="D38" s="200">
        <v>38</v>
      </c>
      <c r="E38" s="200">
        <v>38</v>
      </c>
      <c r="F38" s="200">
        <v>10</v>
      </c>
      <c r="G38" s="200">
        <v>32</v>
      </c>
      <c r="H38" s="201">
        <v>8</v>
      </c>
      <c r="I38" s="63"/>
    </row>
    <row r="39" spans="1:9" s="57" customFormat="1" ht="14.25" customHeight="1">
      <c r="A39" s="62" t="s">
        <v>60</v>
      </c>
      <c r="B39" s="174">
        <v>1</v>
      </c>
      <c r="C39" s="174">
        <v>2</v>
      </c>
      <c r="D39" s="174">
        <v>376</v>
      </c>
      <c r="E39" s="174">
        <v>376</v>
      </c>
      <c r="F39" s="174">
        <v>369</v>
      </c>
      <c r="G39" s="174">
        <v>361</v>
      </c>
      <c r="H39" s="175">
        <v>354</v>
      </c>
      <c r="I39" s="63"/>
    </row>
    <row r="40" spans="1:9" s="57" customFormat="1" ht="14.25" customHeight="1">
      <c r="A40" s="62" t="s">
        <v>61</v>
      </c>
      <c r="B40" s="200">
        <v>2</v>
      </c>
      <c r="C40" s="200">
        <v>6</v>
      </c>
      <c r="D40" s="200">
        <v>440</v>
      </c>
      <c r="E40" s="200">
        <v>440</v>
      </c>
      <c r="F40" s="200">
        <v>280</v>
      </c>
      <c r="G40" s="200">
        <v>440</v>
      </c>
      <c r="H40" s="201">
        <v>280</v>
      </c>
      <c r="I40" s="63"/>
    </row>
    <row r="41" spans="1:9" s="57" customFormat="1" ht="14.25" customHeight="1">
      <c r="A41" s="62" t="s">
        <v>62</v>
      </c>
      <c r="B41" s="174">
        <v>2</v>
      </c>
      <c r="C41" s="174">
        <v>2</v>
      </c>
      <c r="D41" s="174">
        <v>66</v>
      </c>
      <c r="E41" s="174">
        <v>58</v>
      </c>
      <c r="F41" s="174">
        <v>37</v>
      </c>
      <c r="G41" s="174">
        <v>49</v>
      </c>
      <c r="H41" s="175">
        <v>36</v>
      </c>
      <c r="I41" s="63"/>
    </row>
    <row r="42" spans="1:9" s="57" customFormat="1" ht="14.25" customHeight="1">
      <c r="A42" s="62" t="s">
        <v>63</v>
      </c>
      <c r="B42" s="200" t="s">
        <v>1074</v>
      </c>
      <c r="C42" s="200" t="s">
        <v>1074</v>
      </c>
      <c r="D42" s="200" t="s">
        <v>1074</v>
      </c>
      <c r="E42" s="200" t="s">
        <v>1074</v>
      </c>
      <c r="F42" s="200" t="s">
        <v>1074</v>
      </c>
      <c r="G42" s="200" t="s">
        <v>1074</v>
      </c>
      <c r="H42" s="201" t="s">
        <v>1074</v>
      </c>
      <c r="I42" s="63"/>
    </row>
    <row r="43" spans="1:9" s="57" customFormat="1" ht="14.25" customHeight="1">
      <c r="A43" s="62" t="s">
        <v>64</v>
      </c>
      <c r="B43" s="200">
        <v>3</v>
      </c>
      <c r="C43" s="200">
        <v>11</v>
      </c>
      <c r="D43" s="200">
        <v>1260</v>
      </c>
      <c r="E43" s="200">
        <v>1180</v>
      </c>
      <c r="F43" s="200">
        <v>50</v>
      </c>
      <c r="G43" s="200">
        <v>1180</v>
      </c>
      <c r="H43" s="201">
        <v>50</v>
      </c>
      <c r="I43" s="63"/>
    </row>
    <row r="44" spans="1:9" s="57" customFormat="1">
      <c r="I44" s="58"/>
    </row>
  </sheetData>
  <mergeCells count="12">
    <mergeCell ref="G5:H5"/>
    <mergeCell ref="A25:H25"/>
    <mergeCell ref="A1:H1"/>
    <mergeCell ref="A2:H2"/>
    <mergeCell ref="G3:H3"/>
    <mergeCell ref="A4:A6"/>
    <mergeCell ref="B4:B6"/>
    <mergeCell ref="C4:C6"/>
    <mergeCell ref="D4:D6"/>
    <mergeCell ref="E4:H4"/>
    <mergeCell ref="E5:E6"/>
    <mergeCell ref="F5:F6"/>
  </mergeCells>
  <hyperlinks>
    <hyperlink ref="G3" location="'Spis tablic'!A4" display="Powrót do spisu treści" xr:uid="{00000000-0004-0000-0900-000000000000}"/>
    <hyperlink ref="G3:H3" location="'Spis tablic  List of tables'!A21" display="'Spis tablic  List of tables'!A21" xr:uid="{00000000-0004-0000-0900-000001000000}"/>
  </hyperlinks>
  <pageMargins left="0.7" right="0.7" top="0.75" bottom="0.75" header="0.3" footer="0.3"/>
  <pageSetup paperSize="9" scale="85" fitToWidth="0" fitToHeight="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H269"/>
  <sheetViews>
    <sheetView zoomScaleNormal="100" workbookViewId="0">
      <pane ySplit="6" topLeftCell="A7" activePane="bottomLeft" state="frozen"/>
      <selection activeCell="T8" sqref="T8"/>
      <selection pane="bottomLeft" activeCell="E3" sqref="E3:F3"/>
    </sheetView>
  </sheetViews>
  <sheetFormatPr defaultColWidth="9.1796875" defaultRowHeight="10"/>
  <cols>
    <col min="1" max="1" width="24.54296875" style="41" customWidth="1"/>
    <col min="2" max="6" width="13.7265625" style="41" customWidth="1"/>
    <col min="7" max="16384" width="9.1796875" style="41"/>
  </cols>
  <sheetData>
    <row r="1" spans="1:8" s="39" customFormat="1" ht="21" customHeight="1">
      <c r="A1" s="545" t="s">
        <v>1365</v>
      </c>
      <c r="B1" s="545"/>
      <c r="C1" s="545"/>
      <c r="D1" s="545"/>
      <c r="E1" s="545"/>
      <c r="F1" s="545"/>
    </row>
    <row r="2" spans="1:8" s="39" customFormat="1" ht="27.65" customHeight="1">
      <c r="A2" s="563" t="s">
        <v>1364</v>
      </c>
      <c r="B2" s="563"/>
      <c r="C2" s="563"/>
      <c r="D2" s="563"/>
      <c r="E2" s="563"/>
      <c r="F2" s="563"/>
    </row>
    <row r="3" spans="1:8" s="39" customFormat="1" ht="27" customHeight="1">
      <c r="A3" s="74"/>
      <c r="B3" s="74"/>
      <c r="C3" s="74"/>
      <c r="D3" s="74"/>
      <c r="E3" s="537" t="s">
        <v>5</v>
      </c>
      <c r="F3" s="547"/>
    </row>
    <row r="4" spans="1:8" ht="27.75" customHeight="1">
      <c r="A4" s="548" t="s">
        <v>6</v>
      </c>
      <c r="B4" s="539" t="s">
        <v>35</v>
      </c>
      <c r="C4" s="543" t="s">
        <v>69</v>
      </c>
      <c r="D4" s="544"/>
      <c r="E4" s="544"/>
      <c r="F4" s="544"/>
      <c r="H4" s="48"/>
    </row>
    <row r="5" spans="1:8" ht="27" customHeight="1">
      <c r="A5" s="549"/>
      <c r="B5" s="551"/>
      <c r="C5" s="539" t="s">
        <v>80</v>
      </c>
      <c r="D5" s="539" t="s">
        <v>37</v>
      </c>
      <c r="E5" s="544" t="s">
        <v>81</v>
      </c>
      <c r="F5" s="544"/>
    </row>
    <row r="6" spans="1:8" s="75" customFormat="1" ht="42.75" customHeight="1">
      <c r="A6" s="550"/>
      <c r="B6" s="540"/>
      <c r="C6" s="540"/>
      <c r="D6" s="540"/>
      <c r="E6" s="44" t="s">
        <v>39</v>
      </c>
      <c r="F6" s="45" t="s">
        <v>72</v>
      </c>
    </row>
    <row r="7" spans="1:8" ht="40.4" customHeight="1">
      <c r="A7" s="538" t="s">
        <v>48</v>
      </c>
      <c r="B7" s="538"/>
      <c r="C7" s="538"/>
      <c r="D7" s="538"/>
      <c r="E7" s="538"/>
      <c r="F7" s="538"/>
      <c r="G7" s="66"/>
      <c r="H7" s="66"/>
    </row>
    <row r="8" spans="1:8" ht="24" customHeight="1">
      <c r="A8" s="76" t="s">
        <v>1384</v>
      </c>
      <c r="B8" s="182">
        <v>22149</v>
      </c>
      <c r="C8" s="182">
        <v>1213509</v>
      </c>
      <c r="D8" s="182">
        <v>329966</v>
      </c>
      <c r="E8" s="182">
        <v>841135</v>
      </c>
      <c r="F8" s="183">
        <v>268733</v>
      </c>
    </row>
    <row r="9" spans="1:8" ht="24" customHeight="1">
      <c r="A9" s="52">
        <v>2024</v>
      </c>
      <c r="B9" s="202">
        <v>25233</v>
      </c>
      <c r="C9" s="202">
        <v>1578772</v>
      </c>
      <c r="D9" s="202">
        <v>435245</v>
      </c>
      <c r="E9" s="202">
        <v>1110699</v>
      </c>
      <c r="F9" s="203">
        <v>352065</v>
      </c>
    </row>
    <row r="10" spans="1:8" ht="24" customHeight="1">
      <c r="A10" s="47" t="s">
        <v>82</v>
      </c>
      <c r="B10" s="204">
        <v>249</v>
      </c>
      <c r="C10" s="204">
        <v>26582</v>
      </c>
      <c r="D10" s="204">
        <v>23382</v>
      </c>
      <c r="E10" s="204">
        <v>25893</v>
      </c>
      <c r="F10" s="205">
        <v>22901</v>
      </c>
      <c r="H10" s="47"/>
    </row>
    <row r="11" spans="1:8" s="77" customFormat="1" ht="24" customHeight="1">
      <c r="A11" s="47" t="s">
        <v>83</v>
      </c>
      <c r="B11" s="204">
        <v>122</v>
      </c>
      <c r="C11" s="204">
        <v>10678</v>
      </c>
      <c r="D11" s="204">
        <v>3554</v>
      </c>
      <c r="E11" s="204">
        <v>1604</v>
      </c>
      <c r="F11" s="205">
        <v>791</v>
      </c>
      <c r="H11" s="47"/>
    </row>
    <row r="12" spans="1:8" ht="24" customHeight="1">
      <c r="A12" s="47" t="s">
        <v>84</v>
      </c>
      <c r="B12" s="204">
        <v>330</v>
      </c>
      <c r="C12" s="204">
        <v>10592</v>
      </c>
      <c r="D12" s="204">
        <v>4753</v>
      </c>
      <c r="E12" s="204">
        <v>7584</v>
      </c>
      <c r="F12" s="205">
        <v>3584</v>
      </c>
      <c r="H12" s="47"/>
    </row>
    <row r="13" spans="1:8" ht="24" customHeight="1">
      <c r="A13" s="47" t="s">
        <v>85</v>
      </c>
      <c r="B13" s="204">
        <v>32</v>
      </c>
      <c r="C13" s="204">
        <v>1407</v>
      </c>
      <c r="D13" s="204">
        <v>475</v>
      </c>
      <c r="E13" s="204">
        <v>1001</v>
      </c>
      <c r="F13" s="205">
        <v>380</v>
      </c>
      <c r="H13" s="47"/>
    </row>
    <row r="14" spans="1:8" ht="24" customHeight="1">
      <c r="A14" s="78" t="s">
        <v>86</v>
      </c>
      <c r="B14" s="204">
        <v>23</v>
      </c>
      <c r="C14" s="204">
        <v>1135</v>
      </c>
      <c r="D14" s="204">
        <v>220</v>
      </c>
      <c r="E14" s="204">
        <v>825</v>
      </c>
      <c r="F14" s="205">
        <v>211</v>
      </c>
      <c r="H14" s="78"/>
    </row>
    <row r="15" spans="1:8" ht="24" customHeight="1">
      <c r="A15" s="78" t="s">
        <v>87</v>
      </c>
      <c r="B15" s="204">
        <v>9</v>
      </c>
      <c r="C15" s="204">
        <v>272</v>
      </c>
      <c r="D15" s="204">
        <v>255</v>
      </c>
      <c r="E15" s="204">
        <v>176</v>
      </c>
      <c r="F15" s="205">
        <v>169</v>
      </c>
      <c r="H15" s="78"/>
    </row>
    <row r="16" spans="1:8" ht="24" customHeight="1">
      <c r="A16" s="47" t="s">
        <v>88</v>
      </c>
      <c r="B16" s="204">
        <v>48</v>
      </c>
      <c r="C16" s="204">
        <v>1098</v>
      </c>
      <c r="D16" s="204">
        <v>652</v>
      </c>
      <c r="E16" s="204">
        <v>991</v>
      </c>
      <c r="F16" s="205">
        <v>619</v>
      </c>
      <c r="H16" s="47"/>
    </row>
    <row r="17" spans="1:8" ht="24" customHeight="1">
      <c r="A17" s="47" t="s">
        <v>89</v>
      </c>
      <c r="B17" s="204">
        <v>62</v>
      </c>
      <c r="C17" s="204">
        <v>1496</v>
      </c>
      <c r="D17" s="204">
        <v>400</v>
      </c>
      <c r="E17" s="204">
        <v>857</v>
      </c>
      <c r="F17" s="205">
        <v>290</v>
      </c>
      <c r="H17" s="47"/>
    </row>
    <row r="18" spans="1:8" ht="24" customHeight="1">
      <c r="A18" s="78" t="s">
        <v>90</v>
      </c>
      <c r="B18" s="204">
        <v>38</v>
      </c>
      <c r="C18" s="204">
        <v>995</v>
      </c>
      <c r="D18" s="204">
        <v>249</v>
      </c>
      <c r="E18" s="204">
        <v>560</v>
      </c>
      <c r="F18" s="205">
        <v>180</v>
      </c>
      <c r="H18" s="78"/>
    </row>
    <row r="19" spans="1:8" ht="24" customHeight="1">
      <c r="A19" s="78" t="s">
        <v>91</v>
      </c>
      <c r="B19" s="204">
        <v>18</v>
      </c>
      <c r="C19" s="204">
        <v>442</v>
      </c>
      <c r="D19" s="204">
        <v>137</v>
      </c>
      <c r="E19" s="204">
        <v>248</v>
      </c>
      <c r="F19" s="205">
        <v>96</v>
      </c>
      <c r="H19" s="78"/>
    </row>
    <row r="20" spans="1:8" ht="24" customHeight="1">
      <c r="A20" s="78" t="s">
        <v>92</v>
      </c>
      <c r="B20" s="204">
        <v>6</v>
      </c>
      <c r="C20" s="204">
        <v>59</v>
      </c>
      <c r="D20" s="204">
        <v>14</v>
      </c>
      <c r="E20" s="204">
        <v>49</v>
      </c>
      <c r="F20" s="171">
        <v>14</v>
      </c>
      <c r="H20" s="78"/>
    </row>
    <row r="21" spans="1:8" ht="24" customHeight="1">
      <c r="A21" s="47" t="s">
        <v>93</v>
      </c>
      <c r="B21" s="170">
        <v>429</v>
      </c>
      <c r="C21" s="170">
        <v>22721</v>
      </c>
      <c r="D21" s="170">
        <v>4803</v>
      </c>
      <c r="E21" s="170">
        <v>12865</v>
      </c>
      <c r="F21" s="171">
        <v>3214</v>
      </c>
      <c r="H21" s="47"/>
    </row>
    <row r="22" spans="1:8" ht="24" customHeight="1">
      <c r="A22" s="47" t="s">
        <v>94</v>
      </c>
      <c r="B22" s="170">
        <v>112</v>
      </c>
      <c r="C22" s="170">
        <v>3921</v>
      </c>
      <c r="D22" s="170">
        <v>1180</v>
      </c>
      <c r="E22" s="170">
        <v>1041</v>
      </c>
      <c r="F22" s="171">
        <v>465</v>
      </c>
      <c r="H22" s="47"/>
    </row>
    <row r="23" spans="1:8" ht="24" customHeight="1">
      <c r="A23" s="47" t="s">
        <v>95</v>
      </c>
      <c r="B23" s="170">
        <v>66</v>
      </c>
      <c r="C23" s="170">
        <v>4422</v>
      </c>
      <c r="D23" s="170">
        <v>4285</v>
      </c>
      <c r="E23" s="170">
        <v>3966</v>
      </c>
      <c r="F23" s="171">
        <v>3845</v>
      </c>
      <c r="H23" s="47"/>
    </row>
    <row r="24" spans="1:8" ht="24" customHeight="1">
      <c r="A24" s="47" t="s">
        <v>96</v>
      </c>
      <c r="B24" s="170">
        <v>13</v>
      </c>
      <c r="C24" s="170">
        <v>494</v>
      </c>
      <c r="D24" s="170">
        <v>179</v>
      </c>
      <c r="E24" s="170">
        <v>101</v>
      </c>
      <c r="F24" s="171">
        <v>45</v>
      </c>
      <c r="H24" s="47"/>
    </row>
    <row r="25" spans="1:8" ht="24" customHeight="1">
      <c r="A25" s="47" t="s">
        <v>97</v>
      </c>
      <c r="B25" s="170">
        <v>28</v>
      </c>
      <c r="C25" s="170">
        <v>1187</v>
      </c>
      <c r="D25" s="170">
        <v>66</v>
      </c>
      <c r="E25" s="170">
        <v>260</v>
      </c>
      <c r="F25" s="171">
        <v>17</v>
      </c>
      <c r="H25" s="47"/>
    </row>
    <row r="26" spans="1:8" ht="24" customHeight="1">
      <c r="A26" s="47" t="s">
        <v>98</v>
      </c>
      <c r="B26" s="170">
        <v>201</v>
      </c>
      <c r="C26" s="170">
        <v>16529</v>
      </c>
      <c r="D26" s="170">
        <v>14368</v>
      </c>
      <c r="E26" s="170">
        <v>16093</v>
      </c>
      <c r="F26" s="171">
        <v>14054</v>
      </c>
      <c r="H26" s="78"/>
    </row>
    <row r="27" spans="1:8" ht="24" customHeight="1">
      <c r="A27" s="78" t="s">
        <v>257</v>
      </c>
      <c r="B27" s="170">
        <v>90</v>
      </c>
      <c r="C27" s="170">
        <v>9256</v>
      </c>
      <c r="D27" s="170">
        <v>9189</v>
      </c>
      <c r="E27" s="170">
        <v>9109</v>
      </c>
      <c r="F27" s="171">
        <v>5012</v>
      </c>
    </row>
    <row r="28" spans="1:8" ht="24" customHeight="1">
      <c r="A28" s="78" t="s">
        <v>256</v>
      </c>
      <c r="B28" s="170">
        <v>111</v>
      </c>
      <c r="C28" s="170">
        <v>7273</v>
      </c>
      <c r="D28" s="170">
        <v>5179</v>
      </c>
      <c r="E28" s="170">
        <v>6984</v>
      </c>
      <c r="F28" s="171">
        <v>9042</v>
      </c>
      <c r="H28" s="47"/>
    </row>
    <row r="29" spans="1:8" ht="24" customHeight="1">
      <c r="A29" s="47" t="s">
        <v>99</v>
      </c>
      <c r="B29" s="170">
        <v>72</v>
      </c>
      <c r="C29" s="170">
        <v>7564</v>
      </c>
      <c r="D29" s="170">
        <v>1787</v>
      </c>
      <c r="E29" s="170">
        <v>794</v>
      </c>
      <c r="F29" s="171">
        <v>210</v>
      </c>
      <c r="H29" s="47"/>
    </row>
    <row r="30" spans="1:8" ht="24" customHeight="1">
      <c r="A30" s="47" t="s">
        <v>100</v>
      </c>
      <c r="B30" s="170">
        <v>401</v>
      </c>
      <c r="C30" s="170">
        <v>16583</v>
      </c>
      <c r="D30" s="170">
        <v>5303</v>
      </c>
      <c r="E30" s="170">
        <v>13027</v>
      </c>
      <c r="F30" s="171">
        <v>4830</v>
      </c>
      <c r="H30" s="78"/>
    </row>
    <row r="31" spans="1:8" s="79" customFormat="1" ht="34.75" customHeight="1">
      <c r="A31" s="78" t="s">
        <v>988</v>
      </c>
      <c r="B31" s="170">
        <v>121</v>
      </c>
      <c r="C31" s="170">
        <v>6222</v>
      </c>
      <c r="D31" s="170">
        <v>954</v>
      </c>
      <c r="E31" s="170">
        <v>3708</v>
      </c>
      <c r="F31" s="171">
        <v>776</v>
      </c>
      <c r="H31" s="78"/>
    </row>
    <row r="32" spans="1:8" s="79" customFormat="1" ht="24" customHeight="1">
      <c r="A32" s="78" t="s">
        <v>102</v>
      </c>
      <c r="B32" s="170">
        <v>45</v>
      </c>
      <c r="C32" s="170">
        <v>2846</v>
      </c>
      <c r="D32" s="170">
        <v>1165</v>
      </c>
      <c r="E32" s="170">
        <v>2404</v>
      </c>
      <c r="F32" s="171">
        <v>1076</v>
      </c>
      <c r="H32" s="78"/>
    </row>
    <row r="33" spans="1:8" s="79" customFormat="1" ht="24" customHeight="1">
      <c r="A33" s="78" t="s">
        <v>103</v>
      </c>
      <c r="B33" s="170">
        <v>235</v>
      </c>
      <c r="C33" s="170">
        <v>7515</v>
      </c>
      <c r="D33" s="170">
        <v>3184</v>
      </c>
      <c r="E33" s="170">
        <v>6915</v>
      </c>
      <c r="F33" s="171">
        <v>2978</v>
      </c>
      <c r="H33" s="47"/>
    </row>
    <row r="34" spans="1:8" ht="24" customHeight="1">
      <c r="A34" s="47" t="s">
        <v>104</v>
      </c>
      <c r="B34" s="170">
        <v>481</v>
      </c>
      <c r="C34" s="170">
        <v>8337</v>
      </c>
      <c r="D34" s="170">
        <v>6972</v>
      </c>
      <c r="E34" s="170">
        <v>4770</v>
      </c>
      <c r="F34" s="171">
        <v>4367</v>
      </c>
      <c r="H34" s="47"/>
    </row>
    <row r="35" spans="1:8" ht="24" customHeight="1">
      <c r="A35" s="47" t="s">
        <v>16</v>
      </c>
      <c r="B35" s="170">
        <v>398</v>
      </c>
      <c r="C35" s="170">
        <v>45331</v>
      </c>
      <c r="D35" s="170">
        <v>14171</v>
      </c>
      <c r="E35" s="170">
        <v>43015</v>
      </c>
      <c r="F35" s="171">
        <v>13537</v>
      </c>
      <c r="H35" s="47"/>
    </row>
    <row r="36" spans="1:8" ht="24" customHeight="1">
      <c r="A36" s="47" t="s">
        <v>105</v>
      </c>
      <c r="B36" s="170">
        <v>204</v>
      </c>
      <c r="C36" s="170">
        <v>12122</v>
      </c>
      <c r="D36" s="170">
        <v>3484</v>
      </c>
      <c r="E36" s="170">
        <v>7521</v>
      </c>
      <c r="F36" s="171">
        <v>2403</v>
      </c>
      <c r="H36" s="47"/>
    </row>
    <row r="37" spans="1:8" ht="24" customHeight="1">
      <c r="A37" s="47" t="s">
        <v>106</v>
      </c>
      <c r="B37" s="170">
        <v>151</v>
      </c>
      <c r="C37" s="170">
        <v>5369</v>
      </c>
      <c r="D37" s="170">
        <v>2119</v>
      </c>
      <c r="E37" s="170">
        <v>4179</v>
      </c>
      <c r="F37" s="171">
        <v>1752</v>
      </c>
      <c r="H37" s="78"/>
    </row>
    <row r="38" spans="1:8" ht="24" customHeight="1">
      <c r="A38" s="78" t="s">
        <v>943</v>
      </c>
      <c r="B38" s="170">
        <v>26</v>
      </c>
      <c r="C38" s="170">
        <v>695</v>
      </c>
      <c r="D38" s="170">
        <v>264</v>
      </c>
      <c r="E38" s="170">
        <v>480</v>
      </c>
      <c r="F38" s="171">
        <v>1324</v>
      </c>
    </row>
    <row r="39" spans="1:8" ht="24" customHeight="1">
      <c r="A39" s="78" t="s">
        <v>944</v>
      </c>
      <c r="B39" s="170">
        <v>106</v>
      </c>
      <c r="C39" s="170">
        <v>3935</v>
      </c>
      <c r="D39" s="170">
        <v>1588</v>
      </c>
      <c r="E39" s="170">
        <v>3152</v>
      </c>
      <c r="F39" s="171">
        <v>217</v>
      </c>
      <c r="H39" s="78"/>
    </row>
    <row r="40" spans="1:8" ht="25.75" customHeight="1">
      <c r="A40" s="78" t="s">
        <v>107</v>
      </c>
      <c r="B40" s="170">
        <v>19</v>
      </c>
      <c r="C40" s="170">
        <v>739</v>
      </c>
      <c r="D40" s="170">
        <v>267</v>
      </c>
      <c r="E40" s="170">
        <v>547</v>
      </c>
      <c r="F40" s="171">
        <v>211</v>
      </c>
      <c r="H40" s="47"/>
    </row>
    <row r="41" spans="1:8" ht="24" customHeight="1">
      <c r="A41" s="47" t="s">
        <v>108</v>
      </c>
      <c r="B41" s="170">
        <v>792</v>
      </c>
      <c r="C41" s="170">
        <v>65087</v>
      </c>
      <c r="D41" s="170">
        <v>25360</v>
      </c>
      <c r="E41" s="170">
        <v>53813</v>
      </c>
      <c r="F41" s="171">
        <v>21510</v>
      </c>
      <c r="H41" s="47"/>
    </row>
    <row r="42" spans="1:8" ht="24" customHeight="1">
      <c r="A42" s="47" t="s">
        <v>109</v>
      </c>
      <c r="B42" s="170">
        <v>23</v>
      </c>
      <c r="C42" s="170">
        <v>603</v>
      </c>
      <c r="D42" s="170">
        <v>153</v>
      </c>
      <c r="E42" s="170">
        <v>205</v>
      </c>
      <c r="F42" s="171">
        <v>49</v>
      </c>
      <c r="H42" s="47"/>
    </row>
    <row r="43" spans="1:8" ht="24" customHeight="1">
      <c r="A43" s="47" t="s">
        <v>110</v>
      </c>
      <c r="B43" s="170">
        <v>362</v>
      </c>
      <c r="C43" s="170">
        <v>19079</v>
      </c>
      <c r="D43" s="170">
        <v>5055</v>
      </c>
      <c r="E43" s="170">
        <v>11866</v>
      </c>
      <c r="F43" s="171">
        <v>3243</v>
      </c>
      <c r="H43" s="47"/>
    </row>
    <row r="44" spans="1:8" ht="24" customHeight="1">
      <c r="A44" s="47" t="s">
        <v>111</v>
      </c>
      <c r="B44" s="170">
        <v>476</v>
      </c>
      <c r="C44" s="170">
        <v>9010</v>
      </c>
      <c r="D44" s="170">
        <v>2097</v>
      </c>
      <c r="E44" s="170">
        <v>5577</v>
      </c>
      <c r="F44" s="171">
        <v>1458</v>
      </c>
      <c r="H44" s="78"/>
    </row>
    <row r="45" spans="1:8" ht="32.5" customHeight="1">
      <c r="A45" s="78" t="s">
        <v>112</v>
      </c>
      <c r="B45" s="170">
        <v>136</v>
      </c>
      <c r="C45" s="170">
        <v>2590</v>
      </c>
      <c r="D45" s="170">
        <v>523</v>
      </c>
      <c r="E45" s="170">
        <v>1422</v>
      </c>
      <c r="F45" s="171">
        <v>690</v>
      </c>
    </row>
    <row r="46" spans="1:8" ht="24" customHeight="1">
      <c r="A46" s="78" t="s">
        <v>113</v>
      </c>
      <c r="B46" s="170">
        <v>63</v>
      </c>
      <c r="C46" s="170">
        <v>992</v>
      </c>
      <c r="D46" s="170">
        <v>241</v>
      </c>
      <c r="E46" s="170">
        <v>680</v>
      </c>
      <c r="F46" s="171">
        <v>268</v>
      </c>
    </row>
    <row r="47" spans="1:8" ht="24" customHeight="1">
      <c r="A47" s="78" t="s">
        <v>114</v>
      </c>
      <c r="B47" s="170">
        <v>205</v>
      </c>
      <c r="C47" s="170">
        <v>4171</v>
      </c>
      <c r="D47" s="170">
        <v>977</v>
      </c>
      <c r="E47" s="170">
        <v>2504</v>
      </c>
      <c r="F47" s="171">
        <v>153</v>
      </c>
      <c r="H47" s="78"/>
    </row>
    <row r="48" spans="1:8" ht="24" customHeight="1">
      <c r="A48" s="78" t="s">
        <v>115</v>
      </c>
      <c r="B48" s="170">
        <v>52</v>
      </c>
      <c r="C48" s="170">
        <v>1018</v>
      </c>
      <c r="D48" s="170">
        <v>317</v>
      </c>
      <c r="E48" s="170">
        <v>844</v>
      </c>
      <c r="F48" s="171">
        <v>324</v>
      </c>
      <c r="H48" s="78"/>
    </row>
    <row r="49" spans="1:8" ht="24" customHeight="1">
      <c r="A49" s="78" t="s">
        <v>116</v>
      </c>
      <c r="B49" s="170">
        <v>6</v>
      </c>
      <c r="C49" s="170">
        <v>65</v>
      </c>
      <c r="D49" s="170">
        <v>9</v>
      </c>
      <c r="E49" s="170">
        <v>31</v>
      </c>
      <c r="F49" s="171">
        <v>6</v>
      </c>
      <c r="H49" s="47"/>
    </row>
    <row r="50" spans="1:8" ht="24" customHeight="1">
      <c r="A50" s="47" t="s">
        <v>117</v>
      </c>
      <c r="B50" s="170">
        <v>10</v>
      </c>
      <c r="C50" s="170">
        <v>412</v>
      </c>
      <c r="D50" s="170">
        <v>208</v>
      </c>
      <c r="E50" s="170">
        <v>311</v>
      </c>
      <c r="F50" s="171">
        <v>152</v>
      </c>
      <c r="H50" s="47"/>
    </row>
    <row r="51" spans="1:8" ht="24" customHeight="1">
      <c r="A51" s="47" t="s">
        <v>18</v>
      </c>
      <c r="B51" s="170">
        <v>979</v>
      </c>
      <c r="C51" s="170">
        <v>51991</v>
      </c>
      <c r="D51" s="170">
        <v>15950</v>
      </c>
      <c r="E51" s="170">
        <v>45944</v>
      </c>
      <c r="F51" s="171">
        <v>14593</v>
      </c>
      <c r="H51" s="47"/>
    </row>
    <row r="52" spans="1:8" ht="24" customHeight="1">
      <c r="A52" s="80" t="s">
        <v>118</v>
      </c>
      <c r="B52" s="170">
        <v>8</v>
      </c>
      <c r="C52" s="170">
        <v>224</v>
      </c>
      <c r="D52" s="170">
        <v>163</v>
      </c>
      <c r="E52" s="170">
        <v>94</v>
      </c>
      <c r="F52" s="171">
        <v>78</v>
      </c>
      <c r="H52" s="47"/>
    </row>
    <row r="53" spans="1:8" ht="24" customHeight="1">
      <c r="A53" s="47" t="s">
        <v>19</v>
      </c>
      <c r="B53" s="170">
        <v>1154</v>
      </c>
      <c r="C53" s="170">
        <v>50659</v>
      </c>
      <c r="D53" s="170">
        <v>26323</v>
      </c>
      <c r="E53" s="170">
        <v>38870</v>
      </c>
      <c r="F53" s="171">
        <v>21477</v>
      </c>
      <c r="H53" s="47"/>
    </row>
    <row r="54" spans="1:8" ht="24" customHeight="1">
      <c r="A54" s="47" t="s">
        <v>119</v>
      </c>
      <c r="B54" s="170">
        <v>111</v>
      </c>
      <c r="C54" s="170">
        <v>3087</v>
      </c>
      <c r="D54" s="170">
        <v>1319</v>
      </c>
      <c r="E54" s="170">
        <v>1817</v>
      </c>
      <c r="F54" s="171">
        <v>899</v>
      </c>
      <c r="H54" s="47"/>
    </row>
    <row r="55" spans="1:8" ht="24" customHeight="1">
      <c r="A55" s="47" t="s">
        <v>120</v>
      </c>
      <c r="B55" s="170">
        <v>35</v>
      </c>
      <c r="C55" s="170">
        <v>2426</v>
      </c>
      <c r="D55" s="170">
        <v>2152</v>
      </c>
      <c r="E55" s="170">
        <v>2090</v>
      </c>
      <c r="F55" s="171">
        <v>1919</v>
      </c>
      <c r="H55" s="47"/>
    </row>
    <row r="56" spans="1:8" ht="24" customHeight="1">
      <c r="A56" s="47" t="s">
        <v>121</v>
      </c>
      <c r="B56" s="170">
        <v>31</v>
      </c>
      <c r="C56" s="170">
        <v>1432</v>
      </c>
      <c r="D56" s="297">
        <v>908</v>
      </c>
      <c r="E56" s="170">
        <v>1250</v>
      </c>
      <c r="F56" s="171">
        <v>818</v>
      </c>
      <c r="H56" s="47"/>
    </row>
    <row r="57" spans="1:8" ht="24" customHeight="1">
      <c r="A57" s="440" t="s">
        <v>1231</v>
      </c>
      <c r="B57" s="170">
        <v>111</v>
      </c>
      <c r="C57" s="170">
        <v>4759</v>
      </c>
      <c r="D57" s="297">
        <v>1240</v>
      </c>
      <c r="E57" s="170">
        <v>2491</v>
      </c>
      <c r="F57" s="171">
        <v>892</v>
      </c>
      <c r="H57" s="47"/>
    </row>
    <row r="58" spans="1:8" ht="24" customHeight="1">
      <c r="A58" s="47" t="s">
        <v>122</v>
      </c>
      <c r="B58" s="170">
        <v>17</v>
      </c>
      <c r="C58" s="170">
        <v>263</v>
      </c>
      <c r="D58" s="170">
        <v>64</v>
      </c>
      <c r="E58" s="170">
        <v>135</v>
      </c>
      <c r="F58" s="171">
        <v>49</v>
      </c>
      <c r="H58" s="78"/>
    </row>
    <row r="59" spans="1:8" ht="24" customHeight="1">
      <c r="A59" s="47" t="s">
        <v>123</v>
      </c>
      <c r="B59" s="170">
        <v>78</v>
      </c>
      <c r="C59" s="170">
        <v>4763</v>
      </c>
      <c r="D59" s="170">
        <v>985</v>
      </c>
      <c r="E59" s="170">
        <v>2088</v>
      </c>
      <c r="F59" s="171">
        <v>544</v>
      </c>
      <c r="H59" s="78"/>
    </row>
    <row r="60" spans="1:8" ht="24" customHeight="1">
      <c r="A60" s="47" t="s">
        <v>124</v>
      </c>
      <c r="B60" s="170">
        <v>241</v>
      </c>
      <c r="C60" s="170">
        <v>10023</v>
      </c>
      <c r="D60" s="170">
        <v>4365</v>
      </c>
      <c r="E60" s="170">
        <v>7636</v>
      </c>
      <c r="F60" s="171">
        <v>3454</v>
      </c>
      <c r="H60" s="78"/>
    </row>
    <row r="61" spans="1:8" ht="24" customHeight="1">
      <c r="A61" s="78" t="s">
        <v>125</v>
      </c>
      <c r="B61" s="170">
        <v>130</v>
      </c>
      <c r="C61" s="170">
        <v>6504</v>
      </c>
      <c r="D61" s="170">
        <v>2750</v>
      </c>
      <c r="E61" s="170">
        <v>4800</v>
      </c>
      <c r="F61" s="171">
        <v>2071</v>
      </c>
      <c r="H61" s="47"/>
    </row>
    <row r="62" spans="1:8" ht="24" customHeight="1">
      <c r="A62" s="78" t="s">
        <v>126</v>
      </c>
      <c r="B62" s="170">
        <v>97</v>
      </c>
      <c r="C62" s="170">
        <v>3091</v>
      </c>
      <c r="D62" s="170">
        <v>1483</v>
      </c>
      <c r="E62" s="170">
        <v>2700</v>
      </c>
      <c r="F62" s="171">
        <v>1329</v>
      </c>
      <c r="H62" s="47"/>
    </row>
    <row r="63" spans="1:8" ht="24" customHeight="1">
      <c r="A63" s="78" t="s">
        <v>127</v>
      </c>
      <c r="B63" s="170">
        <v>14</v>
      </c>
      <c r="C63" s="170">
        <v>428</v>
      </c>
      <c r="D63" s="170">
        <v>132</v>
      </c>
      <c r="E63" s="170">
        <v>136</v>
      </c>
      <c r="F63" s="171">
        <v>54</v>
      </c>
      <c r="H63" s="81"/>
    </row>
    <row r="64" spans="1:8" ht="24" customHeight="1">
      <c r="A64" s="47" t="s">
        <v>128</v>
      </c>
      <c r="B64" s="170">
        <v>61</v>
      </c>
      <c r="C64" s="170">
        <v>2623</v>
      </c>
      <c r="D64" s="170">
        <v>1253</v>
      </c>
      <c r="E64" s="170">
        <v>1457</v>
      </c>
      <c r="F64" s="171">
        <v>736</v>
      </c>
      <c r="H64" s="78"/>
    </row>
    <row r="65" spans="1:8" s="323" customFormat="1" ht="24" customHeight="1">
      <c r="A65" s="322" t="s">
        <v>1195</v>
      </c>
      <c r="B65" s="170">
        <v>1</v>
      </c>
      <c r="C65" s="170">
        <v>150</v>
      </c>
      <c r="D65" s="170">
        <v>70</v>
      </c>
      <c r="E65" s="170">
        <v>30</v>
      </c>
      <c r="F65" s="205" t="s">
        <v>1074</v>
      </c>
      <c r="H65" s="78"/>
    </row>
    <row r="66" spans="1:8" ht="24" customHeight="1">
      <c r="A66" s="82" t="s">
        <v>129</v>
      </c>
      <c r="B66" s="170">
        <v>129</v>
      </c>
      <c r="C66" s="170">
        <v>4744</v>
      </c>
      <c r="D66" s="170">
        <v>436</v>
      </c>
      <c r="E66" s="170">
        <v>2266</v>
      </c>
      <c r="F66" s="171">
        <v>192</v>
      </c>
      <c r="H66" s="78"/>
    </row>
    <row r="67" spans="1:8" ht="24" customHeight="1">
      <c r="A67" s="47" t="s">
        <v>130</v>
      </c>
      <c r="B67" s="170">
        <v>44</v>
      </c>
      <c r="C67" s="170">
        <v>2007</v>
      </c>
      <c r="D67" s="170">
        <v>779</v>
      </c>
      <c r="E67" s="170">
        <v>1848</v>
      </c>
      <c r="F67" s="171">
        <v>775</v>
      </c>
      <c r="H67" s="78"/>
    </row>
    <row r="68" spans="1:8" ht="24" customHeight="1">
      <c r="A68" s="81" t="s">
        <v>131</v>
      </c>
      <c r="B68" s="170">
        <v>7284</v>
      </c>
      <c r="C68" s="170">
        <v>581773</v>
      </c>
      <c r="D68" s="170">
        <v>40520</v>
      </c>
      <c r="E68" s="170">
        <v>452855</v>
      </c>
      <c r="F68" s="171">
        <v>35613</v>
      </c>
      <c r="H68" s="47"/>
    </row>
    <row r="69" spans="1:8" ht="24" customHeight="1">
      <c r="A69" s="78" t="s">
        <v>132</v>
      </c>
      <c r="B69" s="170">
        <v>6968</v>
      </c>
      <c r="C69" s="170">
        <v>569574</v>
      </c>
      <c r="D69" s="170">
        <v>38532</v>
      </c>
      <c r="E69" s="170">
        <v>445381</v>
      </c>
      <c r="F69" s="171">
        <v>34297</v>
      </c>
      <c r="H69" s="81"/>
    </row>
    <row r="70" spans="1:8" ht="24" customHeight="1">
      <c r="A70" s="78" t="s">
        <v>133</v>
      </c>
      <c r="B70" s="170">
        <v>292</v>
      </c>
      <c r="C70" s="170">
        <v>11384</v>
      </c>
      <c r="D70" s="170">
        <v>1844</v>
      </c>
      <c r="E70" s="170">
        <v>7038</v>
      </c>
      <c r="F70" s="171">
        <v>1222</v>
      </c>
      <c r="H70" s="78"/>
    </row>
    <row r="71" spans="1:8" ht="24" customHeight="1">
      <c r="A71" s="78" t="s">
        <v>134</v>
      </c>
      <c r="B71" s="170">
        <v>24</v>
      </c>
      <c r="C71" s="170">
        <v>815</v>
      </c>
      <c r="D71" s="170">
        <v>144</v>
      </c>
      <c r="E71" s="170">
        <v>436</v>
      </c>
      <c r="F71" s="171">
        <v>94</v>
      </c>
      <c r="H71" s="78"/>
    </row>
    <row r="72" spans="1:8" ht="24" customHeight="1">
      <c r="A72" s="47" t="s">
        <v>21</v>
      </c>
      <c r="B72" s="170">
        <v>706</v>
      </c>
      <c r="C72" s="170">
        <v>36365</v>
      </c>
      <c r="D72" s="170">
        <v>16299</v>
      </c>
      <c r="E72" s="170">
        <v>31559</v>
      </c>
      <c r="F72" s="171">
        <v>14715</v>
      </c>
      <c r="H72" s="83"/>
    </row>
    <row r="73" spans="1:8" ht="24" customHeight="1">
      <c r="A73" s="81" t="s">
        <v>135</v>
      </c>
      <c r="B73" s="170">
        <v>2086</v>
      </c>
      <c r="C73" s="170">
        <v>93227</v>
      </c>
      <c r="D73" s="170">
        <v>57540</v>
      </c>
      <c r="E73" s="170">
        <v>79097</v>
      </c>
      <c r="F73" s="171">
        <v>52327</v>
      </c>
      <c r="H73" s="47"/>
    </row>
    <row r="74" spans="1:8" ht="24" customHeight="1">
      <c r="A74" s="78" t="s">
        <v>136</v>
      </c>
      <c r="B74" s="170">
        <v>1996</v>
      </c>
      <c r="C74" s="170">
        <v>90697</v>
      </c>
      <c r="D74" s="170">
        <v>56137</v>
      </c>
      <c r="E74" s="170">
        <v>77245</v>
      </c>
      <c r="F74" s="171">
        <v>51203</v>
      </c>
      <c r="H74" s="47"/>
    </row>
    <row r="75" spans="1:8" ht="24" customHeight="1">
      <c r="A75" s="78" t="s">
        <v>137</v>
      </c>
      <c r="B75" s="170">
        <v>90</v>
      </c>
      <c r="C75" s="170">
        <v>2530</v>
      </c>
      <c r="D75" s="170">
        <v>1403</v>
      </c>
      <c r="E75" s="170">
        <v>1852</v>
      </c>
      <c r="F75" s="171">
        <v>1124</v>
      </c>
      <c r="H75" s="47"/>
    </row>
    <row r="76" spans="1:8" ht="24" customHeight="1">
      <c r="A76" s="83" t="s">
        <v>138</v>
      </c>
      <c r="B76" s="170">
        <v>26</v>
      </c>
      <c r="C76" s="170">
        <v>523</v>
      </c>
      <c r="D76" s="170">
        <v>211</v>
      </c>
      <c r="E76" s="170">
        <v>280</v>
      </c>
      <c r="F76" s="171">
        <v>149</v>
      </c>
      <c r="H76" s="47"/>
    </row>
    <row r="77" spans="1:8" ht="24" customHeight="1">
      <c r="A77" s="47" t="s">
        <v>139</v>
      </c>
      <c r="B77" s="170">
        <v>102</v>
      </c>
      <c r="C77" s="170">
        <v>2469</v>
      </c>
      <c r="D77" s="170">
        <v>920</v>
      </c>
      <c r="E77" s="170">
        <v>1563</v>
      </c>
      <c r="F77" s="171">
        <v>608</v>
      </c>
      <c r="H77" s="47"/>
    </row>
    <row r="78" spans="1:8" ht="24" customHeight="1">
      <c r="A78" s="81" t="s">
        <v>140</v>
      </c>
      <c r="B78" s="170">
        <v>4</v>
      </c>
      <c r="C78" s="170">
        <v>38</v>
      </c>
      <c r="D78" s="205" t="s">
        <v>1074</v>
      </c>
      <c r="E78" s="170">
        <v>10</v>
      </c>
      <c r="F78" s="205" t="s">
        <v>1074</v>
      </c>
      <c r="H78" s="47"/>
    </row>
    <row r="79" spans="1:8" ht="24" customHeight="1">
      <c r="A79" s="47" t="s">
        <v>141</v>
      </c>
      <c r="B79" s="170">
        <v>6</v>
      </c>
      <c r="C79" s="170">
        <v>102</v>
      </c>
      <c r="D79" s="170">
        <v>44</v>
      </c>
      <c r="E79" s="170">
        <v>52</v>
      </c>
      <c r="F79" s="171">
        <v>24</v>
      </c>
      <c r="H79" s="47"/>
    </row>
    <row r="80" spans="1:8" ht="24" customHeight="1">
      <c r="A80" s="47" t="s">
        <v>142</v>
      </c>
      <c r="B80" s="170">
        <v>9</v>
      </c>
      <c r="C80" s="170">
        <v>168</v>
      </c>
      <c r="D80" s="170">
        <v>87</v>
      </c>
      <c r="E80" s="170">
        <v>133</v>
      </c>
      <c r="F80" s="171">
        <v>71</v>
      </c>
      <c r="H80" s="47"/>
    </row>
    <row r="81" spans="1:8" ht="24" customHeight="1">
      <c r="A81" s="47" t="s">
        <v>143</v>
      </c>
      <c r="B81" s="170">
        <v>80</v>
      </c>
      <c r="C81" s="170">
        <v>4031</v>
      </c>
      <c r="D81" s="170">
        <v>838</v>
      </c>
      <c r="E81" s="170">
        <v>2682</v>
      </c>
      <c r="F81" s="171">
        <v>626</v>
      </c>
      <c r="H81" s="78"/>
    </row>
    <row r="82" spans="1:8" ht="24" customHeight="1">
      <c r="A82" s="47" t="s">
        <v>144</v>
      </c>
      <c r="B82" s="170">
        <v>23</v>
      </c>
      <c r="C82" s="170">
        <v>358</v>
      </c>
      <c r="D82" s="170">
        <v>143</v>
      </c>
      <c r="E82" s="170">
        <v>234</v>
      </c>
      <c r="F82" s="171">
        <v>85</v>
      </c>
      <c r="H82" s="78"/>
    </row>
    <row r="83" spans="1:8" ht="24" customHeight="1">
      <c r="A83" s="47" t="s">
        <v>145</v>
      </c>
      <c r="B83" s="170">
        <v>20</v>
      </c>
      <c r="C83" s="170">
        <v>2108</v>
      </c>
      <c r="D83" s="170">
        <v>348</v>
      </c>
      <c r="E83" s="170">
        <v>223</v>
      </c>
      <c r="F83" s="171">
        <v>87</v>
      </c>
      <c r="H83" s="78"/>
    </row>
    <row r="84" spans="1:8" ht="25.9" customHeight="1">
      <c r="A84" s="47" t="s">
        <v>146</v>
      </c>
      <c r="B84" s="170">
        <v>223</v>
      </c>
      <c r="C84" s="170">
        <v>9563</v>
      </c>
      <c r="D84" s="170">
        <v>1315</v>
      </c>
      <c r="E84" s="170">
        <v>1096</v>
      </c>
      <c r="F84" s="171">
        <v>206</v>
      </c>
      <c r="H84" s="47"/>
    </row>
    <row r="85" spans="1:8" ht="34.15" customHeight="1">
      <c r="A85" s="47" t="s">
        <v>147</v>
      </c>
      <c r="B85" s="170">
        <v>51</v>
      </c>
      <c r="C85" s="170">
        <v>807</v>
      </c>
      <c r="D85" s="170">
        <v>226</v>
      </c>
      <c r="E85" s="170">
        <v>199</v>
      </c>
      <c r="F85" s="171">
        <v>79</v>
      </c>
      <c r="H85" s="47"/>
    </row>
    <row r="86" spans="1:8" ht="24" customHeight="1">
      <c r="A86" s="78" t="s">
        <v>148</v>
      </c>
      <c r="B86" s="170">
        <v>27</v>
      </c>
      <c r="C86" s="170">
        <v>307</v>
      </c>
      <c r="D86" s="170">
        <v>68</v>
      </c>
      <c r="E86" s="170">
        <v>34</v>
      </c>
      <c r="F86" s="171">
        <v>9</v>
      </c>
      <c r="H86" s="78"/>
    </row>
    <row r="87" spans="1:8" ht="24" customHeight="1">
      <c r="A87" s="78" t="s">
        <v>149</v>
      </c>
      <c r="B87" s="170">
        <v>16</v>
      </c>
      <c r="C87" s="170">
        <v>236</v>
      </c>
      <c r="D87" s="170">
        <v>85</v>
      </c>
      <c r="E87" s="170">
        <v>102</v>
      </c>
      <c r="F87" s="171">
        <v>43</v>
      </c>
      <c r="H87" s="78"/>
    </row>
    <row r="88" spans="1:8" ht="24" customHeight="1">
      <c r="A88" s="78" t="s">
        <v>150</v>
      </c>
      <c r="B88" s="170">
        <v>8</v>
      </c>
      <c r="C88" s="170">
        <v>264</v>
      </c>
      <c r="D88" s="170">
        <v>73</v>
      </c>
      <c r="E88" s="170">
        <v>63</v>
      </c>
      <c r="F88" s="171">
        <v>27</v>
      </c>
      <c r="H88" s="78"/>
    </row>
    <row r="89" spans="1:8" ht="24" customHeight="1">
      <c r="A89" s="47" t="s">
        <v>151</v>
      </c>
      <c r="B89" s="170">
        <v>220</v>
      </c>
      <c r="C89" s="170">
        <v>7529</v>
      </c>
      <c r="D89" s="170">
        <v>846</v>
      </c>
      <c r="E89" s="170">
        <v>2266</v>
      </c>
      <c r="F89" s="171">
        <v>303</v>
      </c>
      <c r="H89" s="78"/>
    </row>
    <row r="90" spans="1:8" ht="24" customHeight="1">
      <c r="A90" s="47" t="s">
        <v>152</v>
      </c>
      <c r="B90" s="170">
        <v>824</v>
      </c>
      <c r="C90" s="170">
        <v>72455</v>
      </c>
      <c r="D90" s="170">
        <v>34243</v>
      </c>
      <c r="E90" s="170">
        <v>67834</v>
      </c>
      <c r="F90" s="171">
        <v>32300</v>
      </c>
      <c r="H90" s="47"/>
    </row>
    <row r="91" spans="1:8" ht="24" customHeight="1">
      <c r="A91" s="78" t="s">
        <v>153</v>
      </c>
      <c r="B91" s="170">
        <v>788</v>
      </c>
      <c r="C91" s="170">
        <v>70952</v>
      </c>
      <c r="D91" s="170">
        <v>33561</v>
      </c>
      <c r="E91" s="170">
        <v>66488</v>
      </c>
      <c r="F91" s="171">
        <v>31677</v>
      </c>
      <c r="H91" s="47"/>
    </row>
    <row r="92" spans="1:8" ht="33" customHeight="1">
      <c r="A92" s="78" t="s">
        <v>1119</v>
      </c>
      <c r="B92" s="170">
        <v>15</v>
      </c>
      <c r="C92" s="170">
        <v>345</v>
      </c>
      <c r="D92" s="170">
        <v>333</v>
      </c>
      <c r="E92" s="170">
        <v>324</v>
      </c>
      <c r="F92" s="171">
        <v>313</v>
      </c>
      <c r="H92" s="47"/>
    </row>
    <row r="93" spans="1:8" ht="24" customHeight="1">
      <c r="A93" s="78" t="s">
        <v>154</v>
      </c>
      <c r="B93" s="170">
        <v>11</v>
      </c>
      <c r="C93" s="170">
        <v>824</v>
      </c>
      <c r="D93" s="170">
        <v>149</v>
      </c>
      <c r="E93" s="170">
        <v>750</v>
      </c>
      <c r="F93" s="171">
        <v>165</v>
      </c>
      <c r="H93" s="78"/>
    </row>
    <row r="94" spans="1:8" ht="24" customHeight="1">
      <c r="A94" s="78" t="s">
        <v>155</v>
      </c>
      <c r="B94" s="170">
        <v>10</v>
      </c>
      <c r="C94" s="170">
        <v>334</v>
      </c>
      <c r="D94" s="170">
        <v>200</v>
      </c>
      <c r="E94" s="170">
        <v>272</v>
      </c>
      <c r="F94" s="171">
        <v>145</v>
      </c>
      <c r="H94" s="78"/>
    </row>
    <row r="95" spans="1:8" ht="24" customHeight="1">
      <c r="A95" s="47" t="s">
        <v>156</v>
      </c>
      <c r="B95" s="170">
        <v>8</v>
      </c>
      <c r="C95" s="170">
        <v>130</v>
      </c>
      <c r="D95" s="170">
        <v>63</v>
      </c>
      <c r="E95" s="170">
        <v>2</v>
      </c>
      <c r="F95" s="205" t="s">
        <v>1074</v>
      </c>
      <c r="H95" s="78"/>
    </row>
    <row r="96" spans="1:8" ht="24" customHeight="1">
      <c r="A96" s="47" t="s">
        <v>157</v>
      </c>
      <c r="B96" s="170">
        <v>22</v>
      </c>
      <c r="C96" s="170">
        <v>394</v>
      </c>
      <c r="D96" s="170">
        <v>142</v>
      </c>
      <c r="E96" s="170">
        <v>313</v>
      </c>
      <c r="F96" s="171">
        <v>109</v>
      </c>
      <c r="H96" s="47"/>
    </row>
    <row r="97" spans="1:8" ht="32.5" customHeight="1">
      <c r="A97" s="82" t="s">
        <v>158</v>
      </c>
      <c r="B97" s="170">
        <v>5</v>
      </c>
      <c r="C97" s="170">
        <v>28</v>
      </c>
      <c r="D97" s="171">
        <v>5</v>
      </c>
      <c r="E97" s="170">
        <v>12</v>
      </c>
      <c r="F97" s="171">
        <v>4</v>
      </c>
    </row>
    <row r="98" spans="1:8" ht="24" customHeight="1">
      <c r="A98" s="210" t="s">
        <v>947</v>
      </c>
      <c r="B98" s="171">
        <v>52</v>
      </c>
      <c r="C98" s="171">
        <v>3429</v>
      </c>
      <c r="D98" s="171">
        <v>1064</v>
      </c>
      <c r="E98" s="171">
        <v>1815</v>
      </c>
      <c r="F98" s="171">
        <v>365</v>
      </c>
      <c r="H98" s="78"/>
    </row>
    <row r="99" spans="1:8" ht="24" customHeight="1">
      <c r="A99" s="47" t="s">
        <v>159</v>
      </c>
      <c r="B99" s="170">
        <v>90</v>
      </c>
      <c r="C99" s="170">
        <v>1832</v>
      </c>
      <c r="D99" s="170">
        <v>762</v>
      </c>
      <c r="E99" s="170">
        <v>420</v>
      </c>
      <c r="F99" s="171">
        <v>181</v>
      </c>
      <c r="H99" s="78"/>
    </row>
    <row r="100" spans="1:8" ht="24" customHeight="1">
      <c r="A100" s="78" t="s">
        <v>160</v>
      </c>
      <c r="B100" s="170">
        <v>30</v>
      </c>
      <c r="C100" s="170">
        <v>456</v>
      </c>
      <c r="D100" s="170">
        <v>200</v>
      </c>
      <c r="E100" s="170">
        <v>107</v>
      </c>
      <c r="F100" s="171">
        <v>40</v>
      </c>
      <c r="H100" s="78"/>
    </row>
    <row r="101" spans="1:8" ht="24" customHeight="1">
      <c r="A101" s="78" t="s">
        <v>161</v>
      </c>
      <c r="B101" s="170">
        <v>33</v>
      </c>
      <c r="C101" s="170">
        <v>590</v>
      </c>
      <c r="D101" s="170">
        <v>217</v>
      </c>
      <c r="E101" s="170">
        <v>13</v>
      </c>
      <c r="F101" s="171">
        <v>1</v>
      </c>
      <c r="H101" s="47"/>
    </row>
    <row r="102" spans="1:8" ht="24" customHeight="1">
      <c r="A102" s="78" t="s">
        <v>162</v>
      </c>
      <c r="B102" s="170">
        <v>27</v>
      </c>
      <c r="C102" s="170">
        <v>786</v>
      </c>
      <c r="D102" s="170">
        <v>345</v>
      </c>
      <c r="E102" s="170">
        <v>300</v>
      </c>
      <c r="F102" s="171">
        <v>140</v>
      </c>
      <c r="H102" s="78"/>
    </row>
    <row r="103" spans="1:8" ht="24" customHeight="1">
      <c r="A103" s="47" t="s">
        <v>163</v>
      </c>
      <c r="B103" s="170">
        <v>254</v>
      </c>
      <c r="C103" s="170">
        <v>7051</v>
      </c>
      <c r="D103" s="170">
        <v>3868</v>
      </c>
      <c r="E103" s="170">
        <v>2255</v>
      </c>
      <c r="F103" s="171">
        <v>1268</v>
      </c>
      <c r="H103" s="78"/>
    </row>
    <row r="104" spans="1:8" ht="24" customHeight="1">
      <c r="A104" s="78" t="s">
        <v>164</v>
      </c>
      <c r="B104" s="170">
        <v>128</v>
      </c>
      <c r="C104" s="170">
        <v>4145</v>
      </c>
      <c r="D104" s="170">
        <v>3089</v>
      </c>
      <c r="E104" s="170">
        <v>1313</v>
      </c>
      <c r="F104" s="171">
        <v>1012</v>
      </c>
      <c r="H104" s="47"/>
    </row>
    <row r="105" spans="1:8" ht="24" customHeight="1">
      <c r="A105" s="78" t="s">
        <v>165</v>
      </c>
      <c r="B105" s="170">
        <v>53</v>
      </c>
      <c r="C105" s="170">
        <v>1199</v>
      </c>
      <c r="D105" s="170">
        <v>301</v>
      </c>
      <c r="E105" s="170">
        <v>348</v>
      </c>
      <c r="F105" s="171">
        <v>84</v>
      </c>
      <c r="H105" s="47"/>
    </row>
    <row r="106" spans="1:8" ht="24" customHeight="1">
      <c r="A106" s="78" t="s">
        <v>166</v>
      </c>
      <c r="B106" s="170">
        <v>73</v>
      </c>
      <c r="C106" s="170">
        <v>1707</v>
      </c>
      <c r="D106" s="170">
        <v>478</v>
      </c>
      <c r="E106" s="170">
        <v>594</v>
      </c>
      <c r="F106" s="171">
        <v>172</v>
      </c>
      <c r="H106" s="47"/>
    </row>
    <row r="107" spans="1:8" ht="24" customHeight="1">
      <c r="A107" s="47" t="s">
        <v>167</v>
      </c>
      <c r="B107" s="170">
        <v>302</v>
      </c>
      <c r="C107" s="170">
        <v>22936</v>
      </c>
      <c r="D107" s="170">
        <v>18624</v>
      </c>
      <c r="E107" s="170">
        <v>19429</v>
      </c>
      <c r="F107" s="171">
        <v>16223</v>
      </c>
      <c r="H107" s="47"/>
    </row>
    <row r="108" spans="1:8" ht="24" customHeight="1">
      <c r="A108" s="78" t="s">
        <v>168</v>
      </c>
      <c r="B108" s="170">
        <v>205</v>
      </c>
      <c r="C108" s="170">
        <v>18555</v>
      </c>
      <c r="D108" s="170">
        <v>15689</v>
      </c>
      <c r="E108" s="170">
        <v>16359</v>
      </c>
      <c r="F108" s="171">
        <v>13948</v>
      </c>
      <c r="H108" s="47"/>
    </row>
    <row r="109" spans="1:8" ht="24" customHeight="1">
      <c r="A109" s="78" t="s">
        <v>169</v>
      </c>
      <c r="B109" s="170">
        <v>97</v>
      </c>
      <c r="C109" s="170">
        <v>4381</v>
      </c>
      <c r="D109" s="170">
        <v>2935</v>
      </c>
      <c r="E109" s="170">
        <v>3070</v>
      </c>
      <c r="F109" s="171">
        <v>2275</v>
      </c>
      <c r="H109" s="47"/>
    </row>
    <row r="110" spans="1:8" ht="24" customHeight="1">
      <c r="A110" s="47" t="s">
        <v>24</v>
      </c>
      <c r="B110" s="170">
        <v>605</v>
      </c>
      <c r="C110" s="170">
        <v>122887</v>
      </c>
      <c r="D110" s="170">
        <v>12575</v>
      </c>
      <c r="E110" s="170">
        <v>5133</v>
      </c>
      <c r="F110" s="171">
        <v>1604</v>
      </c>
      <c r="H110" s="47"/>
    </row>
    <row r="111" spans="1:8" ht="24" customHeight="1">
      <c r="A111" s="47" t="s">
        <v>170</v>
      </c>
      <c r="B111" s="170">
        <v>65</v>
      </c>
      <c r="C111" s="170">
        <v>2190</v>
      </c>
      <c r="D111" s="170">
        <v>818</v>
      </c>
      <c r="E111" s="170">
        <v>2025</v>
      </c>
      <c r="F111" s="171">
        <v>771</v>
      </c>
      <c r="H111" s="47"/>
    </row>
    <row r="112" spans="1:8" ht="24" customHeight="1">
      <c r="A112" s="47" t="s">
        <v>171</v>
      </c>
      <c r="B112" s="170">
        <v>542</v>
      </c>
      <c r="C112" s="170">
        <v>22911</v>
      </c>
      <c r="D112" s="170">
        <v>5416</v>
      </c>
      <c r="E112" s="170">
        <v>15815</v>
      </c>
      <c r="F112" s="171">
        <v>3888</v>
      </c>
      <c r="H112" s="47"/>
    </row>
    <row r="113" spans="1:8" ht="24" customHeight="1">
      <c r="A113" s="47" t="s">
        <v>172</v>
      </c>
      <c r="B113" s="170">
        <v>119</v>
      </c>
      <c r="C113" s="170">
        <v>5484</v>
      </c>
      <c r="D113" s="170">
        <v>2432</v>
      </c>
      <c r="E113" s="170">
        <v>4505</v>
      </c>
      <c r="F113" s="171">
        <v>2094</v>
      </c>
      <c r="H113" s="47"/>
    </row>
    <row r="114" spans="1:8" s="323" customFormat="1" ht="24" customHeight="1">
      <c r="A114" s="322" t="s">
        <v>1193</v>
      </c>
      <c r="B114" s="170">
        <v>266</v>
      </c>
      <c r="C114" s="170">
        <v>22845</v>
      </c>
      <c r="D114" s="170">
        <v>8932</v>
      </c>
      <c r="E114" s="170">
        <v>20096</v>
      </c>
      <c r="F114" s="171">
        <v>7844</v>
      </c>
      <c r="H114" s="322"/>
    </row>
    <row r="115" spans="1:8" ht="24" customHeight="1">
      <c r="A115" s="78" t="s">
        <v>1192</v>
      </c>
      <c r="B115" s="170">
        <v>168</v>
      </c>
      <c r="C115" s="170">
        <v>15902</v>
      </c>
      <c r="D115" s="170">
        <v>6089</v>
      </c>
      <c r="E115" s="170">
        <v>13598</v>
      </c>
      <c r="F115" s="171">
        <v>5190</v>
      </c>
      <c r="H115" s="47"/>
    </row>
    <row r="116" spans="1:8" ht="24" customHeight="1">
      <c r="A116" s="78" t="s">
        <v>1194</v>
      </c>
      <c r="B116" s="170">
        <v>98</v>
      </c>
      <c r="C116" s="170">
        <v>6943</v>
      </c>
      <c r="D116" s="170">
        <v>2843</v>
      </c>
      <c r="E116" s="170">
        <v>6498</v>
      </c>
      <c r="F116" s="171">
        <v>2654</v>
      </c>
      <c r="H116" s="47"/>
    </row>
    <row r="117" spans="1:8" ht="24" customHeight="1">
      <c r="A117" s="47" t="s">
        <v>173</v>
      </c>
      <c r="B117" s="170">
        <v>409</v>
      </c>
      <c r="C117" s="170">
        <v>27182</v>
      </c>
      <c r="D117" s="170">
        <v>10776</v>
      </c>
      <c r="E117" s="170">
        <v>15797</v>
      </c>
      <c r="F117" s="171">
        <v>7194</v>
      </c>
      <c r="H117" s="47"/>
    </row>
    <row r="118" spans="1:8" ht="24" customHeight="1">
      <c r="A118" s="47" t="s">
        <v>25</v>
      </c>
      <c r="B118" s="170">
        <v>1037</v>
      </c>
      <c r="C118" s="170">
        <v>27881</v>
      </c>
      <c r="D118" s="170">
        <v>7408</v>
      </c>
      <c r="E118" s="170">
        <v>18193</v>
      </c>
      <c r="F118" s="171">
        <v>5940</v>
      </c>
      <c r="H118" s="47"/>
    </row>
    <row r="119" spans="1:8" ht="24" customHeight="1">
      <c r="A119" s="47" t="s">
        <v>174</v>
      </c>
      <c r="B119" s="170">
        <v>88</v>
      </c>
      <c r="C119" s="170">
        <v>2184</v>
      </c>
      <c r="D119" s="170">
        <v>892</v>
      </c>
      <c r="E119" s="170">
        <v>1149</v>
      </c>
      <c r="F119" s="171">
        <v>543</v>
      </c>
      <c r="H119" s="47"/>
    </row>
    <row r="120" spans="1:8" ht="24" customHeight="1">
      <c r="A120" s="47" t="s">
        <v>175</v>
      </c>
      <c r="B120" s="170">
        <v>69</v>
      </c>
      <c r="C120" s="170">
        <v>2040</v>
      </c>
      <c r="D120" s="170">
        <v>838</v>
      </c>
      <c r="E120" s="170">
        <v>965</v>
      </c>
      <c r="F120" s="171">
        <v>436</v>
      </c>
      <c r="H120" s="78"/>
    </row>
    <row r="121" spans="1:8" ht="24" customHeight="1">
      <c r="A121" s="47" t="s">
        <v>176</v>
      </c>
      <c r="B121" s="170">
        <v>33</v>
      </c>
      <c r="C121" s="170">
        <v>1078</v>
      </c>
      <c r="D121" s="170">
        <v>40</v>
      </c>
      <c r="E121" s="170">
        <v>121</v>
      </c>
      <c r="F121" s="171">
        <v>16</v>
      </c>
      <c r="H121" s="78"/>
    </row>
    <row r="122" spans="1:8" ht="24" customHeight="1">
      <c r="A122" s="47" t="s">
        <v>177</v>
      </c>
      <c r="B122" s="170">
        <v>63</v>
      </c>
      <c r="C122" s="170">
        <v>2784</v>
      </c>
      <c r="D122" s="170">
        <v>1057</v>
      </c>
      <c r="E122" s="170">
        <v>1695</v>
      </c>
      <c r="F122" s="171">
        <v>713</v>
      </c>
      <c r="H122" s="78"/>
    </row>
    <row r="123" spans="1:8" ht="24" customHeight="1">
      <c r="A123" s="47" t="s">
        <v>178</v>
      </c>
      <c r="B123" s="170">
        <v>62</v>
      </c>
      <c r="C123" s="170">
        <v>3012</v>
      </c>
      <c r="D123" s="170">
        <v>2146</v>
      </c>
      <c r="E123" s="170">
        <v>2500</v>
      </c>
      <c r="F123" s="171">
        <v>1860</v>
      </c>
      <c r="H123" s="47"/>
    </row>
    <row r="124" spans="1:8" ht="24" customHeight="1">
      <c r="A124" s="47" t="s">
        <v>179</v>
      </c>
      <c r="B124" s="170">
        <v>28</v>
      </c>
      <c r="C124" s="170">
        <v>1865</v>
      </c>
      <c r="D124" s="170">
        <v>827</v>
      </c>
      <c r="E124" s="170">
        <v>1188</v>
      </c>
      <c r="F124" s="171">
        <v>489</v>
      </c>
      <c r="H124" s="78"/>
    </row>
    <row r="125" spans="1:8" ht="24" customHeight="1">
      <c r="A125" s="47" t="s">
        <v>180</v>
      </c>
      <c r="B125" s="170">
        <v>298</v>
      </c>
      <c r="C125" s="170">
        <v>11723</v>
      </c>
      <c r="D125" s="170">
        <v>3222</v>
      </c>
      <c r="E125" s="170">
        <v>9415</v>
      </c>
      <c r="F125" s="171">
        <v>2679</v>
      </c>
      <c r="H125" s="78"/>
    </row>
    <row r="126" spans="1:8" ht="24" customHeight="1">
      <c r="A126" s="78" t="s">
        <v>181</v>
      </c>
      <c r="B126" s="170">
        <v>92</v>
      </c>
      <c r="C126" s="170">
        <v>4555</v>
      </c>
      <c r="D126" s="170">
        <v>800</v>
      </c>
      <c r="E126" s="170">
        <v>3893</v>
      </c>
      <c r="F126" s="171">
        <v>678</v>
      </c>
      <c r="H126" s="78"/>
    </row>
    <row r="127" spans="1:8" ht="24" customHeight="1">
      <c r="A127" s="78" t="s">
        <v>182</v>
      </c>
      <c r="B127" s="170">
        <v>120</v>
      </c>
      <c r="C127" s="170">
        <v>5075</v>
      </c>
      <c r="D127" s="170">
        <v>1034</v>
      </c>
      <c r="E127" s="170">
        <v>3989</v>
      </c>
      <c r="F127" s="171">
        <v>782</v>
      </c>
      <c r="H127" s="47"/>
    </row>
    <row r="128" spans="1:8" s="323" customFormat="1" ht="24" customHeight="1">
      <c r="A128" s="441" t="s">
        <v>1232</v>
      </c>
      <c r="B128" s="170">
        <v>61</v>
      </c>
      <c r="C128" s="170">
        <v>1241</v>
      </c>
      <c r="D128" s="170">
        <v>1241</v>
      </c>
      <c r="E128" s="170">
        <v>1137</v>
      </c>
      <c r="F128" s="171">
        <v>1137</v>
      </c>
      <c r="H128" s="322"/>
    </row>
    <row r="129" spans="1:6" ht="24" customHeight="1">
      <c r="A129" s="78" t="s">
        <v>183</v>
      </c>
      <c r="B129" s="170">
        <v>25</v>
      </c>
      <c r="C129" s="170">
        <v>852</v>
      </c>
      <c r="D129" s="170">
        <v>147</v>
      </c>
      <c r="E129" s="170">
        <v>396</v>
      </c>
      <c r="F129" s="171">
        <v>82</v>
      </c>
    </row>
    <row r="130" spans="1:6" ht="24" customHeight="1">
      <c r="A130" s="47" t="s">
        <v>184</v>
      </c>
      <c r="B130" s="170">
        <v>302</v>
      </c>
      <c r="C130" s="170">
        <v>10272</v>
      </c>
      <c r="D130" s="170">
        <v>3473</v>
      </c>
      <c r="E130" s="170">
        <v>5342</v>
      </c>
      <c r="F130" s="171">
        <v>2136</v>
      </c>
    </row>
    <row r="131" spans="1:6" ht="24" customHeight="1">
      <c r="A131" s="78" t="s">
        <v>185</v>
      </c>
      <c r="B131" s="170">
        <v>248</v>
      </c>
      <c r="C131" s="170">
        <v>8864</v>
      </c>
      <c r="D131" s="170">
        <v>3033</v>
      </c>
      <c r="E131" s="170">
        <v>4670</v>
      </c>
      <c r="F131" s="171">
        <v>1918</v>
      </c>
    </row>
    <row r="132" spans="1:6" ht="24" customHeight="1">
      <c r="A132" s="78" t="s">
        <v>186</v>
      </c>
      <c r="B132" s="170">
        <v>28</v>
      </c>
      <c r="C132" s="170">
        <v>1061</v>
      </c>
      <c r="D132" s="170">
        <v>334</v>
      </c>
      <c r="E132" s="170">
        <v>585</v>
      </c>
      <c r="F132" s="171">
        <v>30</v>
      </c>
    </row>
    <row r="133" spans="1:6" ht="24" customHeight="1">
      <c r="A133" s="78" t="s">
        <v>187</v>
      </c>
      <c r="B133" s="170">
        <v>12</v>
      </c>
      <c r="C133" s="170">
        <v>207</v>
      </c>
      <c r="D133" s="170">
        <v>70</v>
      </c>
      <c r="E133" s="170">
        <v>72</v>
      </c>
      <c r="F133" s="171">
        <v>182</v>
      </c>
    </row>
    <row r="134" spans="1:6" ht="24" customHeight="1">
      <c r="A134" s="84" t="s">
        <v>188</v>
      </c>
      <c r="B134" s="170">
        <v>4</v>
      </c>
      <c r="C134" s="170">
        <v>25</v>
      </c>
      <c r="D134" s="170">
        <v>9</v>
      </c>
      <c r="E134" s="170">
        <v>8</v>
      </c>
      <c r="F134" s="171">
        <v>3</v>
      </c>
    </row>
    <row r="135" spans="1:6" ht="31.9" customHeight="1">
      <c r="A135" s="84" t="s">
        <v>189</v>
      </c>
      <c r="B135" s="170">
        <v>10</v>
      </c>
      <c r="C135" s="170">
        <v>115</v>
      </c>
      <c r="D135" s="170">
        <v>27</v>
      </c>
      <c r="E135" s="170">
        <v>7</v>
      </c>
      <c r="F135" s="171">
        <v>3</v>
      </c>
    </row>
    <row r="136" spans="1:6" s="85" customFormat="1" ht="27" customHeight="1">
      <c r="A136" s="47" t="s">
        <v>1095</v>
      </c>
      <c r="B136" s="170">
        <v>773</v>
      </c>
      <c r="C136" s="170">
        <v>34379</v>
      </c>
      <c r="D136" s="170">
        <v>14736</v>
      </c>
      <c r="E136" s="170">
        <v>16252</v>
      </c>
      <c r="F136" s="171">
        <v>7743</v>
      </c>
    </row>
    <row r="137" spans="1:6" ht="24" customHeight="1">
      <c r="A137" s="538" t="s">
        <v>65</v>
      </c>
      <c r="B137" s="538"/>
      <c r="C137" s="538"/>
      <c r="D137" s="538"/>
      <c r="E137" s="538"/>
      <c r="F137" s="538"/>
    </row>
    <row r="138" spans="1:6" ht="24" customHeight="1">
      <c r="A138" s="46" t="s">
        <v>1384</v>
      </c>
      <c r="B138" s="182">
        <v>11091</v>
      </c>
      <c r="C138" s="182">
        <v>727429</v>
      </c>
      <c r="D138" s="182">
        <v>218943</v>
      </c>
      <c r="E138" s="182">
        <v>500619</v>
      </c>
      <c r="F138" s="183">
        <v>176223</v>
      </c>
    </row>
    <row r="139" spans="1:6" ht="24" customHeight="1">
      <c r="A139" s="52">
        <v>2024</v>
      </c>
      <c r="B139" s="206">
        <v>13098</v>
      </c>
      <c r="C139" s="206">
        <v>956411</v>
      </c>
      <c r="D139" s="206">
        <v>293626</v>
      </c>
      <c r="E139" s="206">
        <v>664500</v>
      </c>
      <c r="F139" s="206">
        <v>235068</v>
      </c>
    </row>
    <row r="140" spans="1:6" s="77" customFormat="1" ht="24" customHeight="1">
      <c r="A140" s="47" t="s">
        <v>82</v>
      </c>
      <c r="B140" s="204">
        <v>170</v>
      </c>
      <c r="C140" s="204">
        <v>16398</v>
      </c>
      <c r="D140" s="204">
        <v>14329</v>
      </c>
      <c r="E140" s="204">
        <v>15806</v>
      </c>
      <c r="F140" s="205">
        <v>13877</v>
      </c>
    </row>
    <row r="141" spans="1:6" ht="24" customHeight="1">
      <c r="A141" s="47" t="s">
        <v>83</v>
      </c>
      <c r="B141" s="204">
        <v>67</v>
      </c>
      <c r="C141" s="204">
        <v>4773</v>
      </c>
      <c r="D141" s="204">
        <v>1762</v>
      </c>
      <c r="E141" s="204">
        <v>1162</v>
      </c>
      <c r="F141" s="205">
        <v>585</v>
      </c>
    </row>
    <row r="142" spans="1:6" ht="24" customHeight="1">
      <c r="A142" s="47" t="s">
        <v>84</v>
      </c>
      <c r="B142" s="204">
        <v>179</v>
      </c>
      <c r="C142" s="204">
        <v>7141</v>
      </c>
      <c r="D142" s="204">
        <v>3254</v>
      </c>
      <c r="E142" s="204">
        <v>4932</v>
      </c>
      <c r="F142" s="205">
        <v>2345</v>
      </c>
    </row>
    <row r="143" spans="1:6" ht="24" customHeight="1">
      <c r="A143" s="47" t="s">
        <v>85</v>
      </c>
      <c r="B143" s="204">
        <v>24</v>
      </c>
      <c r="C143" s="204">
        <v>1210</v>
      </c>
      <c r="D143" s="204">
        <v>408</v>
      </c>
      <c r="E143" s="204">
        <v>866</v>
      </c>
      <c r="F143" s="205">
        <v>317</v>
      </c>
    </row>
    <row r="144" spans="1:6" ht="24" customHeight="1">
      <c r="A144" s="78" t="s">
        <v>86</v>
      </c>
      <c r="B144" s="204">
        <v>16</v>
      </c>
      <c r="C144" s="204">
        <v>958</v>
      </c>
      <c r="D144" s="204">
        <v>166</v>
      </c>
      <c r="E144" s="204">
        <v>709</v>
      </c>
      <c r="F144" s="205">
        <v>160</v>
      </c>
    </row>
    <row r="145" spans="1:6" ht="24" customHeight="1">
      <c r="A145" s="78" t="s">
        <v>87</v>
      </c>
      <c r="B145" s="204">
        <v>8</v>
      </c>
      <c r="C145" s="204">
        <v>252</v>
      </c>
      <c r="D145" s="204">
        <v>242</v>
      </c>
      <c r="E145" s="204">
        <v>157</v>
      </c>
      <c r="F145" s="205">
        <v>157</v>
      </c>
    </row>
    <row r="146" spans="1:6" ht="24" customHeight="1">
      <c r="A146" s="47" t="s">
        <v>88</v>
      </c>
      <c r="B146" s="204">
        <v>38</v>
      </c>
      <c r="C146" s="204">
        <v>950</v>
      </c>
      <c r="D146" s="204">
        <v>575</v>
      </c>
      <c r="E146" s="204">
        <v>861</v>
      </c>
      <c r="F146" s="205">
        <v>547</v>
      </c>
    </row>
    <row r="147" spans="1:6" ht="24" customHeight="1">
      <c r="A147" s="47" t="s">
        <v>89</v>
      </c>
      <c r="B147" s="204">
        <v>43</v>
      </c>
      <c r="C147" s="204">
        <v>1204</v>
      </c>
      <c r="D147" s="204">
        <v>287</v>
      </c>
      <c r="E147" s="204">
        <v>674</v>
      </c>
      <c r="F147" s="205">
        <v>217</v>
      </c>
    </row>
    <row r="148" spans="1:6" ht="24" customHeight="1">
      <c r="A148" s="78" t="s">
        <v>90</v>
      </c>
      <c r="B148" s="204">
        <v>29</v>
      </c>
      <c r="C148" s="204">
        <v>829</v>
      </c>
      <c r="D148" s="204">
        <v>186</v>
      </c>
      <c r="E148" s="204">
        <v>467</v>
      </c>
      <c r="F148" s="205">
        <v>143</v>
      </c>
    </row>
    <row r="149" spans="1:6" ht="24" customHeight="1">
      <c r="A149" s="78" t="s">
        <v>91</v>
      </c>
      <c r="B149" s="204">
        <v>11</v>
      </c>
      <c r="C149" s="204">
        <v>357</v>
      </c>
      <c r="D149" s="204">
        <v>99</v>
      </c>
      <c r="E149" s="204">
        <v>189</v>
      </c>
      <c r="F149" s="205">
        <v>72</v>
      </c>
    </row>
    <row r="150" spans="1:6" ht="24" customHeight="1">
      <c r="A150" s="78" t="s">
        <v>92</v>
      </c>
      <c r="B150" s="204">
        <v>3</v>
      </c>
      <c r="C150" s="204">
        <v>18</v>
      </c>
      <c r="D150" s="204">
        <v>2</v>
      </c>
      <c r="E150" s="171">
        <v>18</v>
      </c>
      <c r="F150" s="171">
        <v>2</v>
      </c>
    </row>
    <row r="151" spans="1:6" ht="24" customHeight="1">
      <c r="A151" s="47" t="s">
        <v>93</v>
      </c>
      <c r="B151" s="170">
        <v>354</v>
      </c>
      <c r="C151" s="170">
        <v>20353</v>
      </c>
      <c r="D151" s="170">
        <v>4266</v>
      </c>
      <c r="E151" s="170">
        <v>11669</v>
      </c>
      <c r="F151" s="171">
        <v>2952</v>
      </c>
    </row>
    <row r="152" spans="1:6" ht="24" customHeight="1">
      <c r="A152" s="47" t="s">
        <v>94</v>
      </c>
      <c r="B152" s="170">
        <v>78</v>
      </c>
      <c r="C152" s="170">
        <v>3125</v>
      </c>
      <c r="D152" s="170">
        <v>1034</v>
      </c>
      <c r="E152" s="170">
        <v>889</v>
      </c>
      <c r="F152" s="171">
        <v>400</v>
      </c>
    </row>
    <row r="153" spans="1:6" ht="24" customHeight="1">
      <c r="A153" s="47" t="s">
        <v>95</v>
      </c>
      <c r="B153" s="170">
        <v>43</v>
      </c>
      <c r="C153" s="170">
        <v>3451</v>
      </c>
      <c r="D153" s="170">
        <v>3401</v>
      </c>
      <c r="E153" s="170">
        <v>3086</v>
      </c>
      <c r="F153" s="171">
        <v>3042</v>
      </c>
    </row>
    <row r="154" spans="1:6" ht="24" customHeight="1">
      <c r="A154" s="47" t="s">
        <v>96</v>
      </c>
      <c r="B154" s="170">
        <v>12</v>
      </c>
      <c r="C154" s="170">
        <v>470</v>
      </c>
      <c r="D154" s="170">
        <v>171</v>
      </c>
      <c r="E154" s="170">
        <v>87</v>
      </c>
      <c r="F154" s="171">
        <v>39</v>
      </c>
    </row>
    <row r="155" spans="1:6" ht="24" customHeight="1">
      <c r="A155" s="47" t="s">
        <v>97</v>
      </c>
      <c r="B155" s="170">
        <v>25</v>
      </c>
      <c r="C155" s="170">
        <v>1084</v>
      </c>
      <c r="D155" s="170">
        <v>19</v>
      </c>
      <c r="E155" s="170">
        <v>260</v>
      </c>
      <c r="F155" s="171">
        <v>17</v>
      </c>
    </row>
    <row r="156" spans="1:6" ht="24" customHeight="1">
      <c r="A156" s="47" t="s">
        <v>98</v>
      </c>
      <c r="B156" s="170">
        <v>122</v>
      </c>
      <c r="C156" s="170">
        <v>12194</v>
      </c>
      <c r="D156" s="170">
        <v>10727</v>
      </c>
      <c r="E156" s="170">
        <v>11869</v>
      </c>
      <c r="F156" s="171">
        <v>10492</v>
      </c>
    </row>
    <row r="157" spans="1:6" ht="24" customHeight="1">
      <c r="A157" s="78" t="s">
        <v>257</v>
      </c>
      <c r="B157" s="170">
        <v>65</v>
      </c>
      <c r="C157" s="170">
        <v>7507</v>
      </c>
      <c r="D157" s="170">
        <v>7498</v>
      </c>
      <c r="E157" s="170">
        <v>7363</v>
      </c>
      <c r="F157" s="171">
        <v>7354</v>
      </c>
    </row>
    <row r="158" spans="1:6" ht="24" customHeight="1">
      <c r="A158" s="78" t="s">
        <v>256</v>
      </c>
      <c r="B158" s="170">
        <v>57</v>
      </c>
      <c r="C158" s="170">
        <v>4687</v>
      </c>
      <c r="D158" s="170">
        <v>3229</v>
      </c>
      <c r="E158" s="170">
        <v>4506</v>
      </c>
      <c r="F158" s="171">
        <v>3138</v>
      </c>
    </row>
    <row r="159" spans="1:6" ht="24" customHeight="1">
      <c r="A159" s="47" t="s">
        <v>99</v>
      </c>
      <c r="B159" s="170">
        <v>51</v>
      </c>
      <c r="C159" s="170">
        <v>6713</v>
      </c>
      <c r="D159" s="170">
        <v>1638</v>
      </c>
      <c r="E159" s="170">
        <v>734</v>
      </c>
      <c r="F159" s="171">
        <v>195</v>
      </c>
    </row>
    <row r="160" spans="1:6" s="79" customFormat="1" ht="21.65" customHeight="1">
      <c r="A160" s="47" t="s">
        <v>100</v>
      </c>
      <c r="B160" s="170">
        <v>206</v>
      </c>
      <c r="C160" s="170">
        <v>10963</v>
      </c>
      <c r="D160" s="170">
        <v>3279</v>
      </c>
      <c r="E160" s="170">
        <v>8397</v>
      </c>
      <c r="F160" s="171">
        <v>2929</v>
      </c>
    </row>
    <row r="161" spans="1:6" s="79" customFormat="1" ht="24" customHeight="1">
      <c r="A161" s="78" t="s">
        <v>988</v>
      </c>
      <c r="B161" s="170">
        <v>77</v>
      </c>
      <c r="C161" s="170">
        <v>4995</v>
      </c>
      <c r="D161" s="170">
        <v>861</v>
      </c>
      <c r="E161" s="170">
        <v>3256</v>
      </c>
      <c r="F161" s="171">
        <v>705</v>
      </c>
    </row>
    <row r="162" spans="1:6" s="79" customFormat="1" ht="24" customHeight="1">
      <c r="A162" s="78" t="s">
        <v>102</v>
      </c>
      <c r="B162" s="170">
        <v>35</v>
      </c>
      <c r="C162" s="170">
        <v>2423</v>
      </c>
      <c r="D162" s="170">
        <v>1004</v>
      </c>
      <c r="E162" s="170">
        <v>2035</v>
      </c>
      <c r="F162" s="171">
        <v>919</v>
      </c>
    </row>
    <row r="163" spans="1:6" ht="24" customHeight="1">
      <c r="A163" s="78" t="s">
        <v>103</v>
      </c>
      <c r="B163" s="170">
        <v>94</v>
      </c>
      <c r="C163" s="170">
        <v>3545</v>
      </c>
      <c r="D163" s="170">
        <v>1414</v>
      </c>
      <c r="E163" s="170">
        <v>3106</v>
      </c>
      <c r="F163" s="171">
        <v>1305</v>
      </c>
    </row>
    <row r="164" spans="1:6" ht="24" customHeight="1">
      <c r="A164" s="47" t="s">
        <v>104</v>
      </c>
      <c r="B164" s="170">
        <v>295</v>
      </c>
      <c r="C164" s="170">
        <v>5559</v>
      </c>
      <c r="D164" s="170">
        <v>4623</v>
      </c>
      <c r="E164" s="170">
        <v>2983</v>
      </c>
      <c r="F164" s="171">
        <v>2696</v>
      </c>
    </row>
    <row r="165" spans="1:6" ht="24" customHeight="1">
      <c r="A165" s="47" t="s">
        <v>16</v>
      </c>
      <c r="B165" s="170">
        <v>271</v>
      </c>
      <c r="C165" s="170">
        <v>36684</v>
      </c>
      <c r="D165" s="170">
        <v>11681</v>
      </c>
      <c r="E165" s="170">
        <v>34574</v>
      </c>
      <c r="F165" s="171">
        <v>11096</v>
      </c>
    </row>
    <row r="166" spans="1:6" ht="24" customHeight="1">
      <c r="A166" s="47" t="s">
        <v>105</v>
      </c>
      <c r="B166" s="170">
        <v>126</v>
      </c>
      <c r="C166" s="170">
        <v>7733</v>
      </c>
      <c r="D166" s="170">
        <v>2102</v>
      </c>
      <c r="E166" s="170">
        <v>4723</v>
      </c>
      <c r="F166" s="171">
        <v>1416</v>
      </c>
    </row>
    <row r="167" spans="1:6" ht="24" customHeight="1">
      <c r="A167" s="47" t="s">
        <v>106</v>
      </c>
      <c r="B167" s="170">
        <v>117</v>
      </c>
      <c r="C167" s="170">
        <v>4479</v>
      </c>
      <c r="D167" s="170">
        <v>1772</v>
      </c>
      <c r="E167" s="170">
        <v>3584</v>
      </c>
      <c r="F167" s="171">
        <v>1509</v>
      </c>
    </row>
    <row r="168" spans="1:6" ht="24" customHeight="1">
      <c r="A168" s="78" t="s">
        <v>943</v>
      </c>
      <c r="B168" s="170">
        <v>24</v>
      </c>
      <c r="C168" s="170">
        <v>641</v>
      </c>
      <c r="D168" s="170">
        <v>240</v>
      </c>
      <c r="E168" s="170">
        <v>426</v>
      </c>
      <c r="F168" s="171">
        <v>193</v>
      </c>
    </row>
    <row r="169" spans="1:6" ht="24" customHeight="1">
      <c r="A169" s="78" t="s">
        <v>944</v>
      </c>
      <c r="B169" s="170">
        <v>80</v>
      </c>
      <c r="C169" s="170">
        <v>3383</v>
      </c>
      <c r="D169" s="170">
        <v>1351</v>
      </c>
      <c r="E169" s="170">
        <v>2794</v>
      </c>
      <c r="F169" s="171">
        <v>1157</v>
      </c>
    </row>
    <row r="170" spans="1:6" ht="24" customHeight="1">
      <c r="A170" s="78" t="s">
        <v>107</v>
      </c>
      <c r="B170" s="170">
        <v>13</v>
      </c>
      <c r="C170" s="170">
        <v>455</v>
      </c>
      <c r="D170" s="170">
        <v>181</v>
      </c>
      <c r="E170" s="170">
        <v>364</v>
      </c>
      <c r="F170" s="171">
        <v>159</v>
      </c>
    </row>
    <row r="171" spans="1:6" ht="24" customHeight="1">
      <c r="A171" s="47" t="s">
        <v>108</v>
      </c>
      <c r="B171" s="170">
        <v>531</v>
      </c>
      <c r="C171" s="170">
        <v>46943</v>
      </c>
      <c r="D171" s="170">
        <v>18607</v>
      </c>
      <c r="E171" s="170">
        <v>38537</v>
      </c>
      <c r="F171" s="171">
        <v>15644</v>
      </c>
    </row>
    <row r="172" spans="1:6" ht="24" customHeight="1">
      <c r="A172" s="47" t="s">
        <v>109</v>
      </c>
      <c r="B172" s="170">
        <v>16</v>
      </c>
      <c r="C172" s="170">
        <v>446</v>
      </c>
      <c r="D172" s="170">
        <v>125</v>
      </c>
      <c r="E172" s="170">
        <v>111</v>
      </c>
      <c r="F172" s="171">
        <v>31</v>
      </c>
    </row>
    <row r="173" spans="1:6" ht="24" customHeight="1">
      <c r="A173" s="47" t="s">
        <v>110</v>
      </c>
      <c r="B173" s="170">
        <v>288</v>
      </c>
      <c r="C173" s="170">
        <v>15832</v>
      </c>
      <c r="D173" s="170">
        <v>4114</v>
      </c>
      <c r="E173" s="170">
        <v>9822</v>
      </c>
      <c r="F173" s="171">
        <v>2619</v>
      </c>
    </row>
    <row r="174" spans="1:6" ht="25.9" customHeight="1">
      <c r="A174" s="47" t="s">
        <v>111</v>
      </c>
      <c r="B174" s="170">
        <v>334</v>
      </c>
      <c r="C174" s="170">
        <v>6923</v>
      </c>
      <c r="D174" s="170">
        <v>1571</v>
      </c>
      <c r="E174" s="170">
        <v>4770</v>
      </c>
      <c r="F174" s="171">
        <v>1197</v>
      </c>
    </row>
    <row r="175" spans="1:6" ht="24" customHeight="1">
      <c r="A175" s="78" t="s">
        <v>112</v>
      </c>
      <c r="B175" s="182">
        <v>85</v>
      </c>
      <c r="C175" s="207">
        <v>1820</v>
      </c>
      <c r="D175" s="182">
        <v>341</v>
      </c>
      <c r="E175" s="207">
        <v>1072</v>
      </c>
      <c r="F175" s="183">
        <v>222</v>
      </c>
    </row>
    <row r="176" spans="1:6" ht="24" customHeight="1">
      <c r="A176" s="78" t="s">
        <v>113</v>
      </c>
      <c r="B176" s="182">
        <v>45</v>
      </c>
      <c r="C176" s="207">
        <v>766</v>
      </c>
      <c r="D176" s="182">
        <v>166</v>
      </c>
      <c r="E176" s="207">
        <v>609</v>
      </c>
      <c r="F176" s="183">
        <v>135</v>
      </c>
    </row>
    <row r="177" spans="1:6" ht="24" customHeight="1">
      <c r="A177" s="78" t="s">
        <v>114</v>
      </c>
      <c r="B177" s="182">
        <v>141</v>
      </c>
      <c r="C177" s="207">
        <v>3180</v>
      </c>
      <c r="D177" s="182">
        <v>731</v>
      </c>
      <c r="E177" s="207">
        <v>2168</v>
      </c>
      <c r="F177" s="183">
        <v>569</v>
      </c>
    </row>
    <row r="178" spans="1:6" ht="24" customHeight="1">
      <c r="A178" s="78" t="s">
        <v>115</v>
      </c>
      <c r="B178" s="182">
        <v>47</v>
      </c>
      <c r="C178" s="207">
        <v>955</v>
      </c>
      <c r="D178" s="182">
        <v>297</v>
      </c>
      <c r="E178" s="207">
        <v>796</v>
      </c>
      <c r="F178" s="183">
        <v>248</v>
      </c>
    </row>
    <row r="179" spans="1:6" ht="24" customHeight="1">
      <c r="A179" s="78" t="s">
        <v>116</v>
      </c>
      <c r="B179" s="170">
        <v>6</v>
      </c>
      <c r="C179" s="170">
        <v>65</v>
      </c>
      <c r="D179" s="170">
        <v>9</v>
      </c>
      <c r="E179" s="170">
        <v>31</v>
      </c>
      <c r="F179" s="171">
        <v>6</v>
      </c>
    </row>
    <row r="180" spans="1:6" ht="24" customHeight="1">
      <c r="A180" s="47" t="s">
        <v>117</v>
      </c>
      <c r="B180" s="170">
        <v>9</v>
      </c>
      <c r="C180" s="170">
        <v>396</v>
      </c>
      <c r="D180" s="170">
        <v>199</v>
      </c>
      <c r="E180" s="170">
        <v>311</v>
      </c>
      <c r="F180" s="171">
        <v>152</v>
      </c>
    </row>
    <row r="181" spans="1:6" ht="24" customHeight="1">
      <c r="A181" s="47" t="s">
        <v>18</v>
      </c>
      <c r="B181" s="170">
        <v>452</v>
      </c>
      <c r="C181" s="170">
        <v>35099</v>
      </c>
      <c r="D181" s="170">
        <v>10177</v>
      </c>
      <c r="E181" s="170">
        <v>30918</v>
      </c>
      <c r="F181" s="171">
        <v>9138</v>
      </c>
    </row>
    <row r="182" spans="1:6" ht="24" customHeight="1">
      <c r="A182" s="80" t="s">
        <v>118</v>
      </c>
      <c r="B182" s="170">
        <v>6</v>
      </c>
      <c r="C182" s="170">
        <v>200</v>
      </c>
      <c r="D182" s="170">
        <v>158</v>
      </c>
      <c r="E182" s="170">
        <v>85</v>
      </c>
      <c r="F182" s="171">
        <v>73</v>
      </c>
    </row>
    <row r="183" spans="1:6" ht="24" customHeight="1">
      <c r="A183" s="47" t="s">
        <v>19</v>
      </c>
      <c r="B183" s="170">
        <v>641</v>
      </c>
      <c r="C183" s="170">
        <v>35003</v>
      </c>
      <c r="D183" s="170">
        <v>18982</v>
      </c>
      <c r="E183" s="170">
        <v>27681</v>
      </c>
      <c r="F183" s="171">
        <v>15849</v>
      </c>
    </row>
    <row r="184" spans="1:6" ht="24" customHeight="1">
      <c r="A184" s="47" t="s">
        <v>119</v>
      </c>
      <c r="B184" s="170">
        <v>75</v>
      </c>
      <c r="C184" s="170">
        <v>2542</v>
      </c>
      <c r="D184" s="170">
        <v>1112</v>
      </c>
      <c r="E184" s="170">
        <v>1438</v>
      </c>
      <c r="F184" s="171">
        <v>746</v>
      </c>
    </row>
    <row r="185" spans="1:6" ht="24" customHeight="1">
      <c r="A185" s="47" t="s">
        <v>120</v>
      </c>
      <c r="B185" s="170">
        <v>66</v>
      </c>
      <c r="C185" s="170">
        <v>3858</v>
      </c>
      <c r="D185" s="170">
        <v>3060</v>
      </c>
      <c r="E185" s="170">
        <v>3340</v>
      </c>
      <c r="F185" s="171">
        <v>2737</v>
      </c>
    </row>
    <row r="186" spans="1:6" ht="24" customHeight="1">
      <c r="A186" s="47" t="s">
        <v>121</v>
      </c>
      <c r="B186" s="170">
        <v>35</v>
      </c>
      <c r="C186" s="170">
        <v>1635</v>
      </c>
      <c r="D186" s="170">
        <v>1026</v>
      </c>
      <c r="E186" s="170">
        <v>1436</v>
      </c>
      <c r="F186" s="171">
        <v>928</v>
      </c>
    </row>
    <row r="187" spans="1:6" s="323" customFormat="1" ht="24" customHeight="1">
      <c r="A187" s="440" t="s">
        <v>1231</v>
      </c>
      <c r="B187" s="170">
        <v>84</v>
      </c>
      <c r="C187" s="170">
        <v>3725</v>
      </c>
      <c r="D187" s="170">
        <v>1042</v>
      </c>
      <c r="E187" s="170">
        <v>2007</v>
      </c>
      <c r="F187" s="171">
        <v>790</v>
      </c>
    </row>
    <row r="188" spans="1:6" ht="24" customHeight="1">
      <c r="A188" s="47" t="s">
        <v>122</v>
      </c>
      <c r="B188" s="170">
        <v>13</v>
      </c>
      <c r="C188" s="170">
        <v>213</v>
      </c>
      <c r="D188" s="170">
        <v>48</v>
      </c>
      <c r="E188" s="170">
        <v>116</v>
      </c>
      <c r="F188" s="171">
        <v>45</v>
      </c>
    </row>
    <row r="189" spans="1:6" ht="24" customHeight="1">
      <c r="A189" s="47" t="s">
        <v>123</v>
      </c>
      <c r="B189" s="170">
        <v>64</v>
      </c>
      <c r="C189" s="170">
        <v>4025</v>
      </c>
      <c r="D189" s="170">
        <v>852</v>
      </c>
      <c r="E189" s="170">
        <v>1810</v>
      </c>
      <c r="F189" s="171">
        <v>484</v>
      </c>
    </row>
    <row r="190" spans="1:6" ht="24" customHeight="1">
      <c r="A190" s="47" t="s">
        <v>124</v>
      </c>
      <c r="B190" s="170">
        <v>135</v>
      </c>
      <c r="C190" s="170">
        <v>5846</v>
      </c>
      <c r="D190" s="170">
        <v>2600</v>
      </c>
      <c r="E190" s="170">
        <v>4529</v>
      </c>
      <c r="F190" s="171">
        <v>2073</v>
      </c>
    </row>
    <row r="191" spans="1:6" ht="24" customHeight="1">
      <c r="A191" s="78" t="s">
        <v>125</v>
      </c>
      <c r="B191" s="170">
        <v>77</v>
      </c>
      <c r="C191" s="170">
        <v>3861</v>
      </c>
      <c r="D191" s="170">
        <v>1660</v>
      </c>
      <c r="E191" s="170">
        <v>2906</v>
      </c>
      <c r="F191" s="171">
        <v>1274</v>
      </c>
    </row>
    <row r="192" spans="1:6" ht="24" customHeight="1">
      <c r="A192" s="78" t="s">
        <v>126</v>
      </c>
      <c r="B192" s="170">
        <v>54</v>
      </c>
      <c r="C192" s="170">
        <v>1938</v>
      </c>
      <c r="D192" s="170">
        <v>923</v>
      </c>
      <c r="E192" s="170">
        <v>1602</v>
      </c>
      <c r="F192" s="171">
        <v>795</v>
      </c>
    </row>
    <row r="193" spans="1:6" ht="24" customHeight="1">
      <c r="A193" s="78" t="s">
        <v>127</v>
      </c>
      <c r="B193" s="170">
        <v>4</v>
      </c>
      <c r="C193" s="170">
        <v>47</v>
      </c>
      <c r="D193" s="170">
        <v>17</v>
      </c>
      <c r="E193" s="170">
        <v>21</v>
      </c>
      <c r="F193" s="171">
        <v>4</v>
      </c>
    </row>
    <row r="194" spans="1:6" ht="24" customHeight="1">
      <c r="A194" s="47" t="s">
        <v>128</v>
      </c>
      <c r="B194" s="170">
        <v>47</v>
      </c>
      <c r="C194" s="170">
        <v>2355</v>
      </c>
      <c r="D194" s="170">
        <v>1144</v>
      </c>
      <c r="E194" s="170">
        <v>1269</v>
      </c>
      <c r="F194" s="171">
        <v>653</v>
      </c>
    </row>
    <row r="195" spans="1:6" s="323" customFormat="1" ht="24" customHeight="1">
      <c r="A195" s="322" t="s">
        <v>1195</v>
      </c>
      <c r="B195" s="182">
        <v>1</v>
      </c>
      <c r="C195" s="170">
        <v>150</v>
      </c>
      <c r="D195" s="170">
        <v>70</v>
      </c>
      <c r="E195" s="170">
        <v>30</v>
      </c>
      <c r="F195" s="205" t="s">
        <v>1074</v>
      </c>
    </row>
    <row r="196" spans="1:6" ht="24" customHeight="1">
      <c r="A196" s="82" t="s">
        <v>129</v>
      </c>
      <c r="B196" s="170">
        <v>74</v>
      </c>
      <c r="C196" s="170">
        <v>2729</v>
      </c>
      <c r="D196" s="170">
        <v>323</v>
      </c>
      <c r="E196" s="170">
        <v>1234</v>
      </c>
      <c r="F196" s="171">
        <v>105</v>
      </c>
    </row>
    <row r="197" spans="1:6" ht="24" customHeight="1">
      <c r="A197" s="47" t="s">
        <v>130</v>
      </c>
      <c r="B197" s="170">
        <v>36</v>
      </c>
      <c r="C197" s="170">
        <v>1718</v>
      </c>
      <c r="D197" s="170">
        <v>704</v>
      </c>
      <c r="E197" s="170">
        <v>1673</v>
      </c>
      <c r="F197" s="171">
        <v>701</v>
      </c>
    </row>
    <row r="198" spans="1:6" ht="24" customHeight="1">
      <c r="A198" s="81" t="s">
        <v>131</v>
      </c>
      <c r="B198" s="170">
        <v>2554</v>
      </c>
      <c r="C198" s="170">
        <v>251179</v>
      </c>
      <c r="D198" s="170">
        <v>20015</v>
      </c>
      <c r="E198" s="170">
        <v>200369</v>
      </c>
      <c r="F198" s="171">
        <v>16614</v>
      </c>
    </row>
    <row r="199" spans="1:6" ht="24" customHeight="1">
      <c r="A199" s="78" t="s">
        <v>132</v>
      </c>
      <c r="B199" s="170">
        <v>2379</v>
      </c>
      <c r="C199" s="170">
        <v>244368</v>
      </c>
      <c r="D199" s="170">
        <v>18930</v>
      </c>
      <c r="E199" s="170">
        <v>196518</v>
      </c>
      <c r="F199" s="171">
        <v>16127</v>
      </c>
    </row>
    <row r="200" spans="1:6" ht="24" customHeight="1">
      <c r="A200" s="78" t="s">
        <v>133</v>
      </c>
      <c r="B200" s="170">
        <v>159</v>
      </c>
      <c r="C200" s="170">
        <v>6314</v>
      </c>
      <c r="D200" s="170">
        <v>1000</v>
      </c>
      <c r="E200" s="170">
        <v>3585</v>
      </c>
      <c r="F200" s="171">
        <v>435</v>
      </c>
    </row>
    <row r="201" spans="1:6" ht="24" customHeight="1">
      <c r="A201" s="78" t="s">
        <v>134</v>
      </c>
      <c r="B201" s="170">
        <v>16</v>
      </c>
      <c r="C201" s="170">
        <v>497</v>
      </c>
      <c r="D201" s="170">
        <v>85</v>
      </c>
      <c r="E201" s="170">
        <v>266</v>
      </c>
      <c r="F201" s="171">
        <v>52</v>
      </c>
    </row>
    <row r="202" spans="1:6" ht="24" customHeight="1">
      <c r="A202" s="47" t="s">
        <v>21</v>
      </c>
      <c r="B202" s="170">
        <v>363</v>
      </c>
      <c r="C202" s="170">
        <v>24543</v>
      </c>
      <c r="D202" s="170">
        <v>10237</v>
      </c>
      <c r="E202" s="170">
        <v>20514</v>
      </c>
      <c r="F202" s="171">
        <v>8973</v>
      </c>
    </row>
    <row r="203" spans="1:6" ht="24" customHeight="1">
      <c r="A203" s="81" t="s">
        <v>135</v>
      </c>
      <c r="B203" s="170">
        <v>856</v>
      </c>
      <c r="C203" s="170">
        <v>55875</v>
      </c>
      <c r="D203" s="170">
        <v>36044</v>
      </c>
      <c r="E203" s="170">
        <v>48498</v>
      </c>
      <c r="F203" s="171">
        <v>32951</v>
      </c>
    </row>
    <row r="204" spans="1:6" ht="24" customHeight="1">
      <c r="A204" s="78" t="s">
        <v>136</v>
      </c>
      <c r="B204" s="170">
        <v>801</v>
      </c>
      <c r="C204" s="170">
        <v>53993</v>
      </c>
      <c r="D204" s="170">
        <v>34934</v>
      </c>
      <c r="E204" s="170">
        <v>46934</v>
      </c>
      <c r="F204" s="171">
        <v>31974</v>
      </c>
    </row>
    <row r="205" spans="1:6" ht="24" customHeight="1">
      <c r="A205" s="78" t="s">
        <v>137</v>
      </c>
      <c r="B205" s="170">
        <v>55</v>
      </c>
      <c r="C205" s="170">
        <v>1882</v>
      </c>
      <c r="D205" s="170">
        <v>1110</v>
      </c>
      <c r="E205" s="170">
        <v>1564</v>
      </c>
      <c r="F205" s="171">
        <v>977</v>
      </c>
    </row>
    <row r="206" spans="1:6" ht="24" customHeight="1">
      <c r="A206" s="83" t="s">
        <v>138</v>
      </c>
      <c r="B206" s="170">
        <v>11</v>
      </c>
      <c r="C206" s="170">
        <v>289</v>
      </c>
      <c r="D206" s="170">
        <v>145</v>
      </c>
      <c r="E206" s="170">
        <v>242</v>
      </c>
      <c r="F206" s="171">
        <v>130</v>
      </c>
    </row>
    <row r="207" spans="1:6" ht="24" customHeight="1">
      <c r="A207" s="47" t="s">
        <v>139</v>
      </c>
      <c r="B207" s="170">
        <v>90</v>
      </c>
      <c r="C207" s="170">
        <v>2084</v>
      </c>
      <c r="D207" s="170">
        <v>793</v>
      </c>
      <c r="E207" s="170">
        <v>1419</v>
      </c>
      <c r="F207" s="171">
        <v>553</v>
      </c>
    </row>
    <row r="208" spans="1:6" ht="24" customHeight="1">
      <c r="A208" s="81" t="s">
        <v>140</v>
      </c>
      <c r="B208" s="170">
        <v>3</v>
      </c>
      <c r="C208" s="170">
        <v>24</v>
      </c>
      <c r="D208" s="205" t="s">
        <v>1074</v>
      </c>
      <c r="E208" s="170">
        <v>10</v>
      </c>
      <c r="F208" s="205" t="s">
        <v>1074</v>
      </c>
    </row>
    <row r="209" spans="1:6" ht="24" customHeight="1">
      <c r="A209" s="47" t="s">
        <v>141</v>
      </c>
      <c r="B209" s="170">
        <v>1</v>
      </c>
      <c r="C209" s="170">
        <v>4</v>
      </c>
      <c r="D209" s="170">
        <v>2</v>
      </c>
      <c r="E209" s="170">
        <v>4</v>
      </c>
      <c r="F209" s="171">
        <v>2</v>
      </c>
    </row>
    <row r="210" spans="1:6" ht="24" customHeight="1">
      <c r="A210" s="47" t="s">
        <v>142</v>
      </c>
      <c r="B210" s="170">
        <v>3</v>
      </c>
      <c r="C210" s="170">
        <v>79</v>
      </c>
      <c r="D210" s="170">
        <v>35</v>
      </c>
      <c r="E210" s="170">
        <v>48</v>
      </c>
      <c r="F210" s="171">
        <v>22</v>
      </c>
    </row>
    <row r="211" spans="1:6" ht="24" customHeight="1">
      <c r="A211" s="47" t="s">
        <v>143</v>
      </c>
      <c r="B211" s="170">
        <v>54</v>
      </c>
      <c r="C211" s="170">
        <v>3391</v>
      </c>
      <c r="D211" s="170">
        <v>601</v>
      </c>
      <c r="E211" s="170">
        <v>2147</v>
      </c>
      <c r="F211" s="171">
        <v>424</v>
      </c>
    </row>
    <row r="212" spans="1:6" ht="24" customHeight="1">
      <c r="A212" s="47" t="s">
        <v>144</v>
      </c>
      <c r="B212" s="182">
        <v>19</v>
      </c>
      <c r="C212" s="182">
        <v>320</v>
      </c>
      <c r="D212" s="207">
        <v>126</v>
      </c>
      <c r="E212" s="182">
        <v>204</v>
      </c>
      <c r="F212" s="207">
        <v>70</v>
      </c>
    </row>
    <row r="213" spans="1:6" ht="24" customHeight="1">
      <c r="A213" s="47" t="s">
        <v>145</v>
      </c>
      <c r="B213" s="170">
        <v>10</v>
      </c>
      <c r="C213" s="170">
        <v>1808</v>
      </c>
      <c r="D213" s="170">
        <v>286</v>
      </c>
      <c r="E213" s="170">
        <v>193</v>
      </c>
      <c r="F213" s="171">
        <v>80</v>
      </c>
    </row>
    <row r="214" spans="1:6" ht="33" customHeight="1">
      <c r="A214" s="47" t="s">
        <v>146</v>
      </c>
      <c r="B214" s="170">
        <v>183</v>
      </c>
      <c r="C214" s="170">
        <v>6889</v>
      </c>
      <c r="D214" s="170">
        <v>729</v>
      </c>
      <c r="E214" s="170">
        <v>1016</v>
      </c>
      <c r="F214" s="171">
        <v>197</v>
      </c>
    </row>
    <row r="215" spans="1:6" ht="31.15" customHeight="1">
      <c r="A215" s="47" t="s">
        <v>147</v>
      </c>
      <c r="B215" s="170">
        <v>24</v>
      </c>
      <c r="C215" s="170">
        <v>469</v>
      </c>
      <c r="D215" s="170">
        <v>135</v>
      </c>
      <c r="E215" s="170">
        <v>92</v>
      </c>
      <c r="F215" s="171">
        <v>29</v>
      </c>
    </row>
    <row r="216" spans="1:6" ht="24" customHeight="1">
      <c r="A216" s="78" t="s">
        <v>148</v>
      </c>
      <c r="B216" s="170">
        <v>11</v>
      </c>
      <c r="C216" s="170">
        <v>137</v>
      </c>
      <c r="D216" s="170">
        <v>35</v>
      </c>
      <c r="E216" s="170">
        <v>15</v>
      </c>
      <c r="F216" s="171">
        <v>4</v>
      </c>
    </row>
    <row r="217" spans="1:6" ht="24" customHeight="1">
      <c r="A217" s="78" t="s">
        <v>149</v>
      </c>
      <c r="B217" s="170">
        <v>9</v>
      </c>
      <c r="C217" s="170">
        <v>172</v>
      </c>
      <c r="D217" s="170">
        <v>63</v>
      </c>
      <c r="E217" s="170">
        <v>71</v>
      </c>
      <c r="F217" s="171">
        <v>25</v>
      </c>
    </row>
    <row r="218" spans="1:6" ht="24" customHeight="1">
      <c r="A218" s="78" t="s">
        <v>150</v>
      </c>
      <c r="B218" s="170">
        <v>4</v>
      </c>
      <c r="C218" s="170">
        <v>160</v>
      </c>
      <c r="D218" s="170">
        <v>37</v>
      </c>
      <c r="E218" s="170">
        <v>6</v>
      </c>
      <c r="F218" s="205" t="s">
        <v>1074</v>
      </c>
    </row>
    <row r="219" spans="1:6" ht="24" customHeight="1">
      <c r="A219" s="47" t="s">
        <v>151</v>
      </c>
      <c r="B219" s="170">
        <v>154</v>
      </c>
      <c r="C219" s="170">
        <v>5920</v>
      </c>
      <c r="D219" s="170">
        <v>534</v>
      </c>
      <c r="E219" s="170">
        <v>2061</v>
      </c>
      <c r="F219" s="171">
        <v>250</v>
      </c>
    </row>
    <row r="220" spans="1:6" ht="24" customHeight="1">
      <c r="A220" s="47" t="s">
        <v>152</v>
      </c>
      <c r="B220" s="170">
        <v>538</v>
      </c>
      <c r="C220" s="170">
        <v>51959</v>
      </c>
      <c r="D220" s="170">
        <v>24458</v>
      </c>
      <c r="E220" s="170">
        <v>48808</v>
      </c>
      <c r="F220" s="171">
        <v>23182</v>
      </c>
    </row>
    <row r="221" spans="1:6" ht="28.15" customHeight="1">
      <c r="A221" s="78" t="s">
        <v>153</v>
      </c>
      <c r="B221" s="170">
        <v>507</v>
      </c>
      <c r="C221" s="170">
        <v>50521</v>
      </c>
      <c r="D221" s="170">
        <v>23806</v>
      </c>
      <c r="E221" s="170">
        <v>47514</v>
      </c>
      <c r="F221" s="171">
        <v>22579</v>
      </c>
    </row>
    <row r="222" spans="1:6" ht="33" customHeight="1">
      <c r="A222" s="78" t="s">
        <v>1117</v>
      </c>
      <c r="B222" s="170">
        <v>12</v>
      </c>
      <c r="C222" s="170">
        <v>321</v>
      </c>
      <c r="D222" s="170">
        <v>312</v>
      </c>
      <c r="E222" s="170">
        <v>308</v>
      </c>
      <c r="F222" s="171">
        <v>300</v>
      </c>
    </row>
    <row r="223" spans="1:6" ht="24" customHeight="1">
      <c r="A223" s="78" t="s">
        <v>154</v>
      </c>
      <c r="B223" s="170">
        <v>10</v>
      </c>
      <c r="C223" s="170">
        <v>798</v>
      </c>
      <c r="D223" s="170">
        <v>147</v>
      </c>
      <c r="E223" s="170">
        <v>724</v>
      </c>
      <c r="F223" s="171">
        <v>143</v>
      </c>
    </row>
    <row r="224" spans="1:6" ht="24" customHeight="1">
      <c r="A224" s="78" t="s">
        <v>155</v>
      </c>
      <c r="B224" s="170">
        <v>9</v>
      </c>
      <c r="C224" s="170">
        <v>319</v>
      </c>
      <c r="D224" s="170">
        <v>193</v>
      </c>
      <c r="E224" s="170">
        <v>262</v>
      </c>
      <c r="F224" s="171">
        <v>160</v>
      </c>
    </row>
    <row r="225" spans="1:6" ht="24" customHeight="1">
      <c r="A225" s="47" t="s">
        <v>156</v>
      </c>
      <c r="B225" s="170">
        <v>6</v>
      </c>
      <c r="C225" s="170">
        <v>88</v>
      </c>
      <c r="D225" s="170">
        <v>41</v>
      </c>
      <c r="E225" s="170">
        <v>2</v>
      </c>
      <c r="F225" s="205" t="s">
        <v>1074</v>
      </c>
    </row>
    <row r="226" spans="1:6" ht="24" customHeight="1">
      <c r="A226" s="47" t="s">
        <v>157</v>
      </c>
      <c r="B226" s="170">
        <v>19</v>
      </c>
      <c r="C226" s="170">
        <v>370</v>
      </c>
      <c r="D226" s="170">
        <v>127</v>
      </c>
      <c r="E226" s="170">
        <v>304</v>
      </c>
      <c r="F226" s="171">
        <v>105</v>
      </c>
    </row>
    <row r="227" spans="1:6" ht="28.15" customHeight="1">
      <c r="A227" s="82" t="s">
        <v>158</v>
      </c>
      <c r="B227" s="171">
        <v>4</v>
      </c>
      <c r="C227" s="171">
        <v>19</v>
      </c>
      <c r="D227" s="171">
        <v>5</v>
      </c>
      <c r="E227" s="171">
        <v>12</v>
      </c>
      <c r="F227" s="171">
        <v>4</v>
      </c>
    </row>
    <row r="228" spans="1:6" ht="24" customHeight="1">
      <c r="A228" s="210" t="s">
        <v>947</v>
      </c>
      <c r="B228" s="171">
        <v>44</v>
      </c>
      <c r="C228" s="171">
        <v>3246</v>
      </c>
      <c r="D228" s="171">
        <v>982</v>
      </c>
      <c r="E228" s="171">
        <v>1715</v>
      </c>
      <c r="F228" s="171">
        <v>329</v>
      </c>
    </row>
    <row r="229" spans="1:6" ht="24" customHeight="1">
      <c r="A229" s="47" t="s">
        <v>159</v>
      </c>
      <c r="B229" s="170">
        <v>66</v>
      </c>
      <c r="C229" s="170">
        <v>1456</v>
      </c>
      <c r="D229" s="170">
        <v>596</v>
      </c>
      <c r="E229" s="170">
        <v>311</v>
      </c>
      <c r="F229" s="171">
        <v>142</v>
      </c>
    </row>
    <row r="230" spans="1:6" ht="24" customHeight="1">
      <c r="A230" s="78" t="s">
        <v>160</v>
      </c>
      <c r="B230" s="170">
        <v>16</v>
      </c>
      <c r="C230" s="170">
        <v>221</v>
      </c>
      <c r="D230" s="170">
        <v>101</v>
      </c>
      <c r="E230" s="170">
        <v>14</v>
      </c>
      <c r="F230" s="171">
        <v>8</v>
      </c>
    </row>
    <row r="231" spans="1:6" ht="24" customHeight="1">
      <c r="A231" s="78" t="s">
        <v>161</v>
      </c>
      <c r="B231" s="170">
        <v>28</v>
      </c>
      <c r="C231" s="170">
        <v>528</v>
      </c>
      <c r="D231" s="170">
        <v>193</v>
      </c>
      <c r="E231" s="170">
        <v>7</v>
      </c>
      <c r="F231" s="205" t="s">
        <v>1074</v>
      </c>
    </row>
    <row r="232" spans="1:6" ht="24" customHeight="1">
      <c r="A232" s="78" t="s">
        <v>162</v>
      </c>
      <c r="B232" s="170">
        <v>22</v>
      </c>
      <c r="C232" s="170">
        <v>707</v>
      </c>
      <c r="D232" s="170">
        <v>302</v>
      </c>
      <c r="E232" s="170">
        <v>290</v>
      </c>
      <c r="F232" s="171">
        <v>134</v>
      </c>
    </row>
    <row r="233" spans="1:6" ht="24" customHeight="1">
      <c r="A233" s="47" t="s">
        <v>163</v>
      </c>
      <c r="B233" s="170">
        <v>126</v>
      </c>
      <c r="C233" s="170">
        <v>3408</v>
      </c>
      <c r="D233" s="170">
        <v>1591</v>
      </c>
      <c r="E233" s="170">
        <v>1007</v>
      </c>
      <c r="F233" s="171">
        <v>513</v>
      </c>
    </row>
    <row r="234" spans="1:6" ht="24" customHeight="1">
      <c r="A234" s="78" t="s">
        <v>164</v>
      </c>
      <c r="B234" s="170">
        <v>47</v>
      </c>
      <c r="C234" s="170">
        <v>1744</v>
      </c>
      <c r="D234" s="170">
        <v>1160</v>
      </c>
      <c r="E234" s="170">
        <v>480</v>
      </c>
      <c r="F234" s="171">
        <v>368</v>
      </c>
    </row>
    <row r="235" spans="1:6" ht="24" customHeight="1">
      <c r="A235" s="78" t="s">
        <v>165</v>
      </c>
      <c r="B235" s="170">
        <v>20</v>
      </c>
      <c r="C235" s="170">
        <v>274</v>
      </c>
      <c r="D235" s="170">
        <v>41</v>
      </c>
      <c r="E235" s="170">
        <v>56</v>
      </c>
      <c r="F235" s="171">
        <v>7</v>
      </c>
    </row>
    <row r="236" spans="1:6" ht="24" customHeight="1">
      <c r="A236" s="78" t="s">
        <v>166</v>
      </c>
      <c r="B236" s="170">
        <v>59</v>
      </c>
      <c r="C236" s="170">
        <v>1390</v>
      </c>
      <c r="D236" s="170">
        <v>390</v>
      </c>
      <c r="E236" s="170">
        <v>471</v>
      </c>
      <c r="F236" s="171">
        <v>138</v>
      </c>
    </row>
    <row r="237" spans="1:6" ht="24" customHeight="1">
      <c r="A237" s="47" t="s">
        <v>167</v>
      </c>
      <c r="B237" s="170">
        <v>178</v>
      </c>
      <c r="C237" s="170">
        <v>16382</v>
      </c>
      <c r="D237" s="170">
        <v>13164</v>
      </c>
      <c r="E237" s="170">
        <v>13622</v>
      </c>
      <c r="F237" s="171">
        <v>11196</v>
      </c>
    </row>
    <row r="238" spans="1:6" ht="24" customHeight="1">
      <c r="A238" s="78" t="s">
        <v>168</v>
      </c>
      <c r="B238" s="170">
        <v>113</v>
      </c>
      <c r="C238" s="170">
        <v>13093</v>
      </c>
      <c r="D238" s="170">
        <v>10931</v>
      </c>
      <c r="E238" s="170">
        <v>11183</v>
      </c>
      <c r="F238" s="171">
        <v>9413</v>
      </c>
    </row>
    <row r="239" spans="1:6" ht="24" customHeight="1">
      <c r="A239" s="78" t="s">
        <v>169</v>
      </c>
      <c r="B239" s="170">
        <v>65</v>
      </c>
      <c r="C239" s="170">
        <v>3289</v>
      </c>
      <c r="D239" s="170">
        <v>2233</v>
      </c>
      <c r="E239" s="170">
        <v>2439</v>
      </c>
      <c r="F239" s="171">
        <v>1783</v>
      </c>
    </row>
    <row r="240" spans="1:6" ht="24" customHeight="1">
      <c r="A240" s="47" t="s">
        <v>24</v>
      </c>
      <c r="B240" s="170">
        <v>306</v>
      </c>
      <c r="C240" s="170">
        <v>92631</v>
      </c>
      <c r="D240" s="170">
        <v>9545</v>
      </c>
      <c r="E240" s="170">
        <v>4121</v>
      </c>
      <c r="F240" s="171">
        <v>1299</v>
      </c>
    </row>
    <row r="241" spans="1:6" ht="24" customHeight="1">
      <c r="A241" s="47" t="s">
        <v>170</v>
      </c>
      <c r="B241" s="170">
        <v>54</v>
      </c>
      <c r="C241" s="170">
        <v>2001</v>
      </c>
      <c r="D241" s="170">
        <v>763</v>
      </c>
      <c r="E241" s="170">
        <v>1843</v>
      </c>
      <c r="F241" s="171">
        <v>720</v>
      </c>
    </row>
    <row r="242" spans="1:6" ht="24" customHeight="1">
      <c r="A242" s="47" t="s">
        <v>171</v>
      </c>
      <c r="B242" s="170">
        <v>317</v>
      </c>
      <c r="C242" s="170">
        <v>17752</v>
      </c>
      <c r="D242" s="170">
        <v>4206</v>
      </c>
      <c r="E242" s="170">
        <v>11759</v>
      </c>
      <c r="F242" s="171">
        <v>2871</v>
      </c>
    </row>
    <row r="243" spans="1:6" ht="24" customHeight="1">
      <c r="A243" s="47" t="s">
        <v>172</v>
      </c>
      <c r="B243" s="170">
        <v>107</v>
      </c>
      <c r="C243" s="170">
        <v>5163</v>
      </c>
      <c r="D243" s="170">
        <v>2348</v>
      </c>
      <c r="E243" s="170">
        <v>4354</v>
      </c>
      <c r="F243" s="171">
        <v>2039</v>
      </c>
    </row>
    <row r="244" spans="1:6" s="323" customFormat="1" ht="24" customHeight="1">
      <c r="A244" s="322" t="s">
        <v>1193</v>
      </c>
      <c r="B244" s="170">
        <v>204</v>
      </c>
      <c r="C244" s="170">
        <v>19031</v>
      </c>
      <c r="D244" s="170">
        <v>7350</v>
      </c>
      <c r="E244" s="170">
        <v>16912</v>
      </c>
      <c r="F244" s="171">
        <v>6522</v>
      </c>
    </row>
    <row r="245" spans="1:6" ht="24" customHeight="1">
      <c r="A245" s="78" t="s">
        <v>1196</v>
      </c>
      <c r="B245" s="170">
        <v>115</v>
      </c>
      <c r="C245" s="170">
        <v>12454</v>
      </c>
      <c r="D245" s="170">
        <v>4662</v>
      </c>
      <c r="E245" s="170">
        <v>10741</v>
      </c>
      <c r="F245" s="171">
        <v>4005</v>
      </c>
    </row>
    <row r="246" spans="1:6" ht="24" customHeight="1">
      <c r="A246" s="78" t="s">
        <v>1197</v>
      </c>
      <c r="B246" s="170">
        <v>89</v>
      </c>
      <c r="C246" s="170">
        <v>6577</v>
      </c>
      <c r="D246" s="170">
        <v>2688</v>
      </c>
      <c r="E246" s="170">
        <v>6171</v>
      </c>
      <c r="F246" s="171">
        <v>2517</v>
      </c>
    </row>
    <row r="247" spans="1:6" ht="24" customHeight="1">
      <c r="A247" s="315" t="s">
        <v>173</v>
      </c>
      <c r="B247" s="170">
        <v>210</v>
      </c>
      <c r="C247" s="170">
        <v>18113</v>
      </c>
      <c r="D247" s="170">
        <v>7332</v>
      </c>
      <c r="E247" s="170">
        <v>11049</v>
      </c>
      <c r="F247" s="171">
        <v>4998</v>
      </c>
    </row>
    <row r="248" spans="1:6" ht="24" customHeight="1">
      <c r="A248" s="47" t="s">
        <v>25</v>
      </c>
      <c r="B248" s="170">
        <v>472</v>
      </c>
      <c r="C248" s="170">
        <v>15996</v>
      </c>
      <c r="D248" s="170">
        <v>4005</v>
      </c>
      <c r="E248" s="170">
        <v>9842</v>
      </c>
      <c r="F248" s="171">
        <v>2968</v>
      </c>
    </row>
    <row r="249" spans="1:6" ht="24" customHeight="1">
      <c r="A249" s="47" t="s">
        <v>174</v>
      </c>
      <c r="B249" s="170">
        <v>59</v>
      </c>
      <c r="C249" s="170">
        <v>1567</v>
      </c>
      <c r="D249" s="170">
        <v>638</v>
      </c>
      <c r="E249" s="170">
        <v>851</v>
      </c>
      <c r="F249" s="171">
        <v>381</v>
      </c>
    </row>
    <row r="250" spans="1:6" ht="24" customHeight="1">
      <c r="A250" s="47" t="s">
        <v>175</v>
      </c>
      <c r="B250" s="170">
        <v>46</v>
      </c>
      <c r="C250" s="170">
        <v>1429</v>
      </c>
      <c r="D250" s="170">
        <v>608</v>
      </c>
      <c r="E250" s="170">
        <v>578</v>
      </c>
      <c r="F250" s="171">
        <v>283</v>
      </c>
    </row>
    <row r="251" spans="1:6" ht="24" customHeight="1">
      <c r="A251" s="47" t="s">
        <v>176</v>
      </c>
      <c r="B251" s="170">
        <v>13</v>
      </c>
      <c r="C251" s="170">
        <v>228</v>
      </c>
      <c r="D251" s="170">
        <v>18</v>
      </c>
      <c r="E251" s="170">
        <v>46</v>
      </c>
      <c r="F251" s="171">
        <v>7</v>
      </c>
    </row>
    <row r="252" spans="1:6" ht="24" customHeight="1">
      <c r="A252" s="47" t="s">
        <v>177</v>
      </c>
      <c r="B252" s="170">
        <v>53</v>
      </c>
      <c r="C252" s="170">
        <v>2524</v>
      </c>
      <c r="D252" s="170">
        <v>975</v>
      </c>
      <c r="E252" s="170">
        <v>1603</v>
      </c>
      <c r="F252" s="171">
        <v>666</v>
      </c>
    </row>
    <row r="253" spans="1:6" ht="24" customHeight="1">
      <c r="A253" s="47" t="s">
        <v>178</v>
      </c>
      <c r="B253" s="170">
        <v>49</v>
      </c>
      <c r="C253" s="170">
        <v>2312</v>
      </c>
      <c r="D253" s="170">
        <v>1613</v>
      </c>
      <c r="E253" s="170">
        <v>1945</v>
      </c>
      <c r="F253" s="171">
        <v>1422</v>
      </c>
    </row>
    <row r="254" spans="1:6" ht="24" customHeight="1">
      <c r="A254" s="47" t="s">
        <v>179</v>
      </c>
      <c r="B254" s="170">
        <v>21</v>
      </c>
      <c r="C254" s="170">
        <v>1498</v>
      </c>
      <c r="D254" s="170">
        <v>638</v>
      </c>
      <c r="E254" s="170">
        <v>1017</v>
      </c>
      <c r="F254" s="171">
        <v>410</v>
      </c>
    </row>
    <row r="255" spans="1:6" ht="24" customHeight="1">
      <c r="A255" s="47" t="s">
        <v>180</v>
      </c>
      <c r="B255" s="170">
        <v>249</v>
      </c>
      <c r="C255" s="170">
        <v>10553</v>
      </c>
      <c r="D255" s="170">
        <v>2872</v>
      </c>
      <c r="E255" s="170">
        <v>8543</v>
      </c>
      <c r="F255" s="171">
        <v>2399</v>
      </c>
    </row>
    <row r="256" spans="1:6" ht="24" customHeight="1">
      <c r="A256" s="78" t="s">
        <v>181</v>
      </c>
      <c r="B256" s="170">
        <v>80</v>
      </c>
      <c r="C256" s="170">
        <v>4295</v>
      </c>
      <c r="D256" s="170">
        <v>749</v>
      </c>
      <c r="E256" s="170">
        <v>3656</v>
      </c>
      <c r="F256" s="171">
        <v>631</v>
      </c>
    </row>
    <row r="257" spans="1:6" ht="24" customHeight="1">
      <c r="A257" s="78" t="s">
        <v>182</v>
      </c>
      <c r="B257" s="170">
        <v>97</v>
      </c>
      <c r="C257" s="170">
        <v>4481</v>
      </c>
      <c r="D257" s="170">
        <v>865</v>
      </c>
      <c r="E257" s="170">
        <v>3502</v>
      </c>
      <c r="F257" s="171">
        <v>652</v>
      </c>
    </row>
    <row r="258" spans="1:6" s="323" customFormat="1" ht="24" customHeight="1">
      <c r="A258" s="441" t="s">
        <v>1232</v>
      </c>
      <c r="B258" s="170">
        <v>54</v>
      </c>
      <c r="C258" s="170">
        <v>1141</v>
      </c>
      <c r="D258" s="170">
        <v>1141</v>
      </c>
      <c r="E258" s="170">
        <v>1039</v>
      </c>
      <c r="F258" s="171">
        <v>1039</v>
      </c>
    </row>
    <row r="259" spans="1:6" ht="24" customHeight="1">
      <c r="A259" s="78" t="s">
        <v>183</v>
      </c>
      <c r="B259" s="170">
        <v>18</v>
      </c>
      <c r="C259" s="170">
        <v>636</v>
      </c>
      <c r="D259" s="170">
        <v>117</v>
      </c>
      <c r="E259" s="170">
        <v>346</v>
      </c>
      <c r="F259" s="171">
        <v>77</v>
      </c>
    </row>
    <row r="260" spans="1:6" ht="24" customHeight="1">
      <c r="A260" s="47" t="s">
        <v>184</v>
      </c>
      <c r="B260" s="170">
        <v>185</v>
      </c>
      <c r="C260" s="170">
        <v>6172</v>
      </c>
      <c r="D260" s="170">
        <v>2139</v>
      </c>
      <c r="E260" s="170">
        <v>3829</v>
      </c>
      <c r="F260" s="171">
        <v>1474</v>
      </c>
    </row>
    <row r="261" spans="1:6" ht="24" customHeight="1">
      <c r="A261" s="78" t="s">
        <v>185</v>
      </c>
      <c r="B261" s="170">
        <v>150</v>
      </c>
      <c r="C261" s="170">
        <v>5275</v>
      </c>
      <c r="D261" s="170">
        <v>1851</v>
      </c>
      <c r="E261" s="170">
        <v>3223</v>
      </c>
      <c r="F261" s="171">
        <v>1270</v>
      </c>
    </row>
    <row r="262" spans="1:6" ht="24" customHeight="1">
      <c r="A262" s="78" t="s">
        <v>186</v>
      </c>
      <c r="B262" s="170">
        <v>16</v>
      </c>
      <c r="C262" s="170">
        <v>626</v>
      </c>
      <c r="D262" s="170">
        <v>200</v>
      </c>
      <c r="E262" s="170">
        <v>520</v>
      </c>
      <c r="F262" s="171">
        <v>168</v>
      </c>
    </row>
    <row r="263" spans="1:6" ht="24" customHeight="1">
      <c r="A263" s="78" t="s">
        <v>187</v>
      </c>
      <c r="B263" s="170">
        <v>11</v>
      </c>
      <c r="C263" s="170">
        <v>205</v>
      </c>
      <c r="D263" s="170">
        <v>70</v>
      </c>
      <c r="E263" s="170">
        <v>72</v>
      </c>
      <c r="F263" s="171">
        <v>30</v>
      </c>
    </row>
    <row r="264" spans="1:6" ht="25.15" customHeight="1">
      <c r="A264" s="84" t="s">
        <v>188</v>
      </c>
      <c r="B264" s="170">
        <v>2</v>
      </c>
      <c r="C264" s="170">
        <v>12</v>
      </c>
      <c r="D264" s="170">
        <v>4</v>
      </c>
      <c r="E264" s="170">
        <v>7</v>
      </c>
      <c r="F264" s="171">
        <v>3</v>
      </c>
    </row>
    <row r="265" spans="1:6" ht="30" customHeight="1">
      <c r="A265" s="84" t="s">
        <v>189</v>
      </c>
      <c r="B265" s="170">
        <v>6</v>
      </c>
      <c r="C265" s="170">
        <v>54</v>
      </c>
      <c r="D265" s="170">
        <v>14</v>
      </c>
      <c r="E265" s="170">
        <v>7</v>
      </c>
      <c r="F265" s="171">
        <v>3</v>
      </c>
    </row>
    <row r="266" spans="1:6" ht="24" customHeight="1">
      <c r="A266" s="47" t="s">
        <v>1095</v>
      </c>
      <c r="B266" s="170">
        <v>354</v>
      </c>
      <c r="C266" s="170">
        <v>17152</v>
      </c>
      <c r="D266" s="170">
        <v>7714</v>
      </c>
      <c r="E266" s="170">
        <v>6773</v>
      </c>
      <c r="F266" s="171">
        <v>3135</v>
      </c>
    </row>
    <row r="267" spans="1:6" s="57" customFormat="1" ht="24" customHeight="1">
      <c r="A267" s="86"/>
      <c r="B267" s="67"/>
      <c r="C267" s="67"/>
      <c r="D267" s="67"/>
      <c r="E267" s="67"/>
      <c r="F267" s="67"/>
    </row>
    <row r="268" spans="1:6" s="50" customFormat="1" ht="24" customHeight="1">
      <c r="A268" s="562" t="s">
        <v>190</v>
      </c>
      <c r="B268" s="562"/>
      <c r="C268" s="562"/>
      <c r="D268" s="562"/>
      <c r="E268" s="562"/>
      <c r="F268" s="562"/>
    </row>
    <row r="269" spans="1:6" ht="24" customHeight="1">
      <c r="A269" s="561" t="s">
        <v>191</v>
      </c>
      <c r="B269" s="561"/>
      <c r="C269" s="561"/>
      <c r="D269" s="561"/>
      <c r="E269" s="561"/>
      <c r="F269" s="561"/>
    </row>
  </sheetData>
  <mergeCells count="13">
    <mergeCell ref="A269:F269"/>
    <mergeCell ref="A268:F268"/>
    <mergeCell ref="A137:F137"/>
    <mergeCell ref="A7:F7"/>
    <mergeCell ref="A1:F1"/>
    <mergeCell ref="A2:F2"/>
    <mergeCell ref="E3:F3"/>
    <mergeCell ref="A4:A6"/>
    <mergeCell ref="B4:B6"/>
    <mergeCell ref="C4:F4"/>
    <mergeCell ref="C5:C6"/>
    <mergeCell ref="D5:D6"/>
    <mergeCell ref="E5:F5"/>
  </mergeCells>
  <hyperlinks>
    <hyperlink ref="E3" location="'Spis tablic'!A4" display="Powrót do spisu treści" xr:uid="{00000000-0004-0000-0A00-000000000000}"/>
    <hyperlink ref="E3:F3" location="'Spis tablic  List of tables'!A23" display="'Spis tablic  List of tables'!A23" xr:uid="{00000000-0004-0000-0A00-000001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H294"/>
  <sheetViews>
    <sheetView zoomScaleNormal="100" workbookViewId="0">
      <pane ySplit="6" topLeftCell="A7" activePane="bottomLeft" state="frozen"/>
      <selection activeCell="G12" sqref="G12"/>
      <selection pane="bottomLeft" activeCell="A293" sqref="A293:F293"/>
    </sheetView>
  </sheetViews>
  <sheetFormatPr defaultColWidth="9.1796875" defaultRowHeight="14.5"/>
  <cols>
    <col min="1" max="1" width="25.81640625" style="50" customWidth="1"/>
    <col min="2" max="6" width="13.7265625" style="50" customWidth="1"/>
    <col min="7" max="16384" width="9.1796875" style="50"/>
  </cols>
  <sheetData>
    <row r="1" spans="1:8" s="39" customFormat="1" ht="14.25" customHeight="1">
      <c r="A1" s="545" t="s">
        <v>1166</v>
      </c>
      <c r="B1" s="545"/>
      <c r="C1" s="545"/>
      <c r="D1" s="545"/>
      <c r="E1" s="545"/>
      <c r="F1" s="545"/>
    </row>
    <row r="2" spans="1:8" s="39" customFormat="1" ht="14.25" customHeight="1">
      <c r="A2" s="546" t="s">
        <v>1167</v>
      </c>
      <c r="B2" s="546"/>
      <c r="C2" s="546"/>
      <c r="D2" s="546"/>
      <c r="E2" s="546"/>
      <c r="F2" s="546"/>
    </row>
    <row r="3" spans="1:8" s="39" customFormat="1" ht="26.15" customHeight="1">
      <c r="B3" s="49"/>
      <c r="E3" s="537" t="s">
        <v>5</v>
      </c>
      <c r="F3" s="547"/>
    </row>
    <row r="4" spans="1:8" s="41" customFormat="1" ht="24" customHeight="1">
      <c r="A4" s="548" t="s">
        <v>6</v>
      </c>
      <c r="B4" s="539" t="s">
        <v>35</v>
      </c>
      <c r="C4" s="543" t="s">
        <v>69</v>
      </c>
      <c r="D4" s="544"/>
      <c r="E4" s="544"/>
      <c r="F4" s="544"/>
    </row>
    <row r="5" spans="1:8" s="41" customFormat="1" ht="34.5" customHeight="1">
      <c r="A5" s="549"/>
      <c r="B5" s="551"/>
      <c r="C5" s="539" t="s">
        <v>70</v>
      </c>
      <c r="D5" s="539" t="s">
        <v>37</v>
      </c>
      <c r="E5" s="544" t="s">
        <v>192</v>
      </c>
      <c r="F5" s="544"/>
    </row>
    <row r="6" spans="1:8" s="41" customFormat="1" ht="30">
      <c r="A6" s="550"/>
      <c r="B6" s="540"/>
      <c r="C6" s="540"/>
      <c r="D6" s="540"/>
      <c r="E6" s="65" t="s">
        <v>71</v>
      </c>
      <c r="F6" s="45" t="s">
        <v>72</v>
      </c>
    </row>
    <row r="7" spans="1:8" s="87" customFormat="1" ht="40.4" customHeight="1">
      <c r="A7" s="538" t="s">
        <v>1075</v>
      </c>
      <c r="B7" s="552"/>
      <c r="C7" s="552"/>
      <c r="D7" s="552"/>
      <c r="E7" s="552"/>
      <c r="F7" s="552"/>
      <c r="H7" s="318"/>
    </row>
    <row r="8" spans="1:8" s="41" customFormat="1" ht="20.5">
      <c r="A8" s="88" t="s">
        <v>1168</v>
      </c>
      <c r="B8" s="182">
        <v>410</v>
      </c>
      <c r="C8" s="182">
        <v>6977</v>
      </c>
      <c r="D8" s="182">
        <v>5804</v>
      </c>
      <c r="E8" s="182">
        <v>4079</v>
      </c>
      <c r="F8" s="183">
        <v>3726</v>
      </c>
    </row>
    <row r="9" spans="1:8" s="41" customFormat="1" ht="14.25" customHeight="1">
      <c r="A9" s="52">
        <v>2024</v>
      </c>
      <c r="B9" s="202">
        <v>481</v>
      </c>
      <c r="C9" s="202">
        <v>8337</v>
      </c>
      <c r="D9" s="202">
        <v>6972</v>
      </c>
      <c r="E9" s="202">
        <v>4770</v>
      </c>
      <c r="F9" s="203">
        <v>4367</v>
      </c>
    </row>
    <row r="10" spans="1:8" s="41" customFormat="1" ht="14.25" customHeight="1">
      <c r="A10" s="54" t="s">
        <v>49</v>
      </c>
      <c r="B10" s="204">
        <v>48</v>
      </c>
      <c r="C10" s="204">
        <v>728</v>
      </c>
      <c r="D10" s="204">
        <v>590</v>
      </c>
      <c r="E10" s="204">
        <v>368</v>
      </c>
      <c r="F10" s="205">
        <v>322</v>
      </c>
    </row>
    <row r="11" spans="1:8" s="41" customFormat="1" ht="14.25" customHeight="1">
      <c r="A11" s="54" t="s">
        <v>50</v>
      </c>
      <c r="B11" s="204">
        <v>20</v>
      </c>
      <c r="C11" s="204">
        <v>319</v>
      </c>
      <c r="D11" s="204">
        <v>260</v>
      </c>
      <c r="E11" s="204">
        <v>182</v>
      </c>
      <c r="F11" s="205">
        <v>168</v>
      </c>
    </row>
    <row r="12" spans="1:8" s="41" customFormat="1" ht="14.25" customHeight="1">
      <c r="A12" s="54" t="s">
        <v>51</v>
      </c>
      <c r="B12" s="204">
        <v>6</v>
      </c>
      <c r="C12" s="204">
        <v>269</v>
      </c>
      <c r="D12" s="204">
        <v>232</v>
      </c>
      <c r="E12" s="171">
        <v>134</v>
      </c>
      <c r="F12" s="171">
        <v>119</v>
      </c>
    </row>
    <row r="13" spans="1:8" s="41" customFormat="1" ht="14.25" customHeight="1">
      <c r="A13" s="54" t="s">
        <v>52</v>
      </c>
      <c r="B13" s="204">
        <v>14</v>
      </c>
      <c r="C13" s="204">
        <v>162</v>
      </c>
      <c r="D13" s="204">
        <v>135</v>
      </c>
      <c r="E13" s="204">
        <v>72</v>
      </c>
      <c r="F13" s="205">
        <v>62</v>
      </c>
    </row>
    <row r="14" spans="1:8" s="41" customFormat="1" ht="14.25" customHeight="1">
      <c r="A14" s="54" t="s">
        <v>53</v>
      </c>
      <c r="B14" s="204">
        <v>33</v>
      </c>
      <c r="C14" s="204">
        <v>479</v>
      </c>
      <c r="D14" s="204">
        <v>388</v>
      </c>
      <c r="E14" s="204">
        <v>219</v>
      </c>
      <c r="F14" s="205">
        <v>206</v>
      </c>
    </row>
    <row r="15" spans="1:8" s="41" customFormat="1" ht="14.25" customHeight="1">
      <c r="A15" s="54" t="s">
        <v>54</v>
      </c>
      <c r="B15" s="204">
        <v>42</v>
      </c>
      <c r="C15" s="204">
        <v>1279</v>
      </c>
      <c r="D15" s="204">
        <v>1091</v>
      </c>
      <c r="E15" s="204">
        <v>826</v>
      </c>
      <c r="F15" s="205">
        <v>754</v>
      </c>
    </row>
    <row r="16" spans="1:8" s="41" customFormat="1" ht="14.25" customHeight="1">
      <c r="A16" s="56" t="s">
        <v>55</v>
      </c>
      <c r="B16" s="170">
        <v>64</v>
      </c>
      <c r="C16" s="170">
        <v>955</v>
      </c>
      <c r="D16" s="170">
        <v>763</v>
      </c>
      <c r="E16" s="170">
        <v>511</v>
      </c>
      <c r="F16" s="171">
        <v>442</v>
      </c>
    </row>
    <row r="17" spans="1:8" s="41" customFormat="1" ht="14.25" customHeight="1">
      <c r="A17" s="56" t="s">
        <v>56</v>
      </c>
      <c r="B17" s="170">
        <v>22</v>
      </c>
      <c r="C17" s="170">
        <v>348</v>
      </c>
      <c r="D17" s="170">
        <v>305</v>
      </c>
      <c r="E17" s="170">
        <v>259</v>
      </c>
      <c r="F17" s="171">
        <v>234</v>
      </c>
    </row>
    <row r="18" spans="1:8" s="41" customFormat="1" ht="14.25" customHeight="1">
      <c r="A18" s="56" t="s">
        <v>57</v>
      </c>
      <c r="B18" s="170">
        <v>11</v>
      </c>
      <c r="C18" s="170">
        <v>151</v>
      </c>
      <c r="D18" s="170">
        <v>122</v>
      </c>
      <c r="E18" s="170">
        <v>80</v>
      </c>
      <c r="F18" s="171">
        <v>75</v>
      </c>
    </row>
    <row r="19" spans="1:8" ht="14.25" customHeight="1">
      <c r="A19" s="56" t="s">
        <v>58</v>
      </c>
      <c r="B19" s="170">
        <v>23</v>
      </c>
      <c r="C19" s="170">
        <v>272</v>
      </c>
      <c r="D19" s="170">
        <v>237</v>
      </c>
      <c r="E19" s="170">
        <v>173</v>
      </c>
      <c r="F19" s="171">
        <v>162</v>
      </c>
      <c r="G19" s="41"/>
    </row>
    <row r="20" spans="1:8" ht="14.25" customHeight="1">
      <c r="A20" s="56" t="s">
        <v>59</v>
      </c>
      <c r="B20" s="170">
        <v>35</v>
      </c>
      <c r="C20" s="170">
        <v>802</v>
      </c>
      <c r="D20" s="170">
        <v>697</v>
      </c>
      <c r="E20" s="170">
        <v>523</v>
      </c>
      <c r="F20" s="171">
        <v>511</v>
      </c>
      <c r="G20" s="41"/>
    </row>
    <row r="21" spans="1:8" ht="14.25" customHeight="1">
      <c r="A21" s="56" t="s">
        <v>60</v>
      </c>
      <c r="B21" s="170">
        <v>28</v>
      </c>
      <c r="C21" s="170">
        <v>668</v>
      </c>
      <c r="D21" s="170">
        <v>600</v>
      </c>
      <c r="E21" s="170">
        <v>352</v>
      </c>
      <c r="F21" s="171">
        <v>341</v>
      </c>
      <c r="G21" s="41"/>
    </row>
    <row r="22" spans="1:8" ht="14.25" customHeight="1">
      <c r="A22" s="56" t="s">
        <v>61</v>
      </c>
      <c r="B22" s="170">
        <v>11</v>
      </c>
      <c r="C22" s="170">
        <v>129</v>
      </c>
      <c r="D22" s="170">
        <v>108</v>
      </c>
      <c r="E22" s="170">
        <v>84</v>
      </c>
      <c r="F22" s="171">
        <v>80</v>
      </c>
      <c r="G22" s="41"/>
    </row>
    <row r="23" spans="1:8" ht="14.25" customHeight="1">
      <c r="A23" s="56" t="s">
        <v>62</v>
      </c>
      <c r="B23" s="170">
        <v>28</v>
      </c>
      <c r="C23" s="170">
        <v>471</v>
      </c>
      <c r="D23" s="170">
        <v>404</v>
      </c>
      <c r="E23" s="170">
        <v>258</v>
      </c>
      <c r="F23" s="171">
        <v>234</v>
      </c>
      <c r="G23" s="41"/>
    </row>
    <row r="24" spans="1:8" ht="14.25" customHeight="1">
      <c r="A24" s="56" t="s">
        <v>63</v>
      </c>
      <c r="B24" s="170">
        <v>63</v>
      </c>
      <c r="C24" s="170">
        <v>906</v>
      </c>
      <c r="D24" s="170">
        <v>731</v>
      </c>
      <c r="E24" s="170">
        <v>478</v>
      </c>
      <c r="F24" s="171">
        <v>430</v>
      </c>
      <c r="G24" s="41"/>
    </row>
    <row r="25" spans="1:8" ht="14.25" customHeight="1">
      <c r="A25" s="56" t="s">
        <v>64</v>
      </c>
      <c r="B25" s="170">
        <v>33</v>
      </c>
      <c r="C25" s="170">
        <v>399</v>
      </c>
      <c r="D25" s="170">
        <v>309</v>
      </c>
      <c r="E25" s="170">
        <v>251</v>
      </c>
      <c r="F25" s="171">
        <v>227</v>
      </c>
      <c r="G25" s="41"/>
    </row>
    <row r="26" spans="1:8" ht="40.4" customHeight="1">
      <c r="A26" s="553" t="s">
        <v>16</v>
      </c>
      <c r="B26" s="554"/>
      <c r="C26" s="554"/>
      <c r="D26" s="554"/>
      <c r="E26" s="554"/>
      <c r="F26" s="555"/>
      <c r="H26" s="318"/>
    </row>
    <row r="27" spans="1:8" ht="20.149999999999999" customHeight="1">
      <c r="A27" s="88" t="s">
        <v>1168</v>
      </c>
      <c r="B27" s="182">
        <v>357</v>
      </c>
      <c r="C27" s="182">
        <v>34789</v>
      </c>
      <c r="D27" s="182">
        <v>10166</v>
      </c>
      <c r="E27" s="182">
        <v>32856</v>
      </c>
      <c r="F27" s="183">
        <v>9689</v>
      </c>
    </row>
    <row r="28" spans="1:8" ht="14.25" customHeight="1">
      <c r="A28" s="52">
        <v>2024</v>
      </c>
      <c r="B28" s="202">
        <v>398</v>
      </c>
      <c r="C28" s="202">
        <v>45331</v>
      </c>
      <c r="D28" s="202">
        <v>14171</v>
      </c>
      <c r="E28" s="202">
        <v>43015</v>
      </c>
      <c r="F28" s="203">
        <v>13537</v>
      </c>
    </row>
    <row r="29" spans="1:8" ht="14.25" customHeight="1">
      <c r="A29" s="54" t="s">
        <v>49</v>
      </c>
      <c r="B29" s="204">
        <v>31</v>
      </c>
      <c r="C29" s="204">
        <v>3870</v>
      </c>
      <c r="D29" s="204">
        <v>951</v>
      </c>
      <c r="E29" s="204">
        <v>3644</v>
      </c>
      <c r="F29" s="205">
        <v>913</v>
      </c>
    </row>
    <row r="30" spans="1:8" ht="14.25" customHeight="1">
      <c r="A30" s="54" t="s">
        <v>50</v>
      </c>
      <c r="B30" s="204">
        <v>23</v>
      </c>
      <c r="C30" s="204">
        <v>1315</v>
      </c>
      <c r="D30" s="204">
        <v>396</v>
      </c>
      <c r="E30" s="204">
        <v>1221</v>
      </c>
      <c r="F30" s="205">
        <v>362</v>
      </c>
    </row>
    <row r="31" spans="1:8" ht="14.25" customHeight="1">
      <c r="A31" s="54" t="s">
        <v>51</v>
      </c>
      <c r="B31" s="204">
        <v>11</v>
      </c>
      <c r="C31" s="204">
        <v>501</v>
      </c>
      <c r="D31" s="204">
        <v>96</v>
      </c>
      <c r="E31" s="204">
        <v>485</v>
      </c>
      <c r="F31" s="205">
        <v>94</v>
      </c>
    </row>
    <row r="32" spans="1:8" ht="14.25" customHeight="1">
      <c r="A32" s="54" t="s">
        <v>52</v>
      </c>
      <c r="B32" s="204">
        <v>12</v>
      </c>
      <c r="C32" s="204">
        <v>634</v>
      </c>
      <c r="D32" s="204">
        <v>198</v>
      </c>
      <c r="E32" s="204">
        <v>605</v>
      </c>
      <c r="F32" s="205">
        <v>185</v>
      </c>
    </row>
    <row r="33" spans="1:8" ht="14.25" customHeight="1">
      <c r="A33" s="54" t="s">
        <v>53</v>
      </c>
      <c r="B33" s="204">
        <v>21</v>
      </c>
      <c r="C33" s="204">
        <v>1637</v>
      </c>
      <c r="D33" s="204">
        <v>492</v>
      </c>
      <c r="E33" s="204">
        <v>1506</v>
      </c>
      <c r="F33" s="205">
        <v>462</v>
      </c>
    </row>
    <row r="34" spans="1:8" ht="14.25" customHeight="1">
      <c r="A34" s="54" t="s">
        <v>54</v>
      </c>
      <c r="B34" s="204">
        <v>30</v>
      </c>
      <c r="C34" s="204">
        <v>3044</v>
      </c>
      <c r="D34" s="204">
        <v>966</v>
      </c>
      <c r="E34" s="204">
        <v>2934</v>
      </c>
      <c r="F34" s="205">
        <v>929</v>
      </c>
      <c r="G34" s="41"/>
    </row>
    <row r="35" spans="1:8" ht="14.25" customHeight="1">
      <c r="A35" s="56" t="s">
        <v>55</v>
      </c>
      <c r="B35" s="170">
        <v>84</v>
      </c>
      <c r="C35" s="170">
        <v>15570</v>
      </c>
      <c r="D35" s="170">
        <v>5111</v>
      </c>
      <c r="E35" s="170">
        <v>14959</v>
      </c>
      <c r="F35" s="171">
        <v>4957</v>
      </c>
      <c r="G35" s="41"/>
    </row>
    <row r="36" spans="1:8" ht="14.25" customHeight="1">
      <c r="A36" s="56" t="s">
        <v>56</v>
      </c>
      <c r="B36" s="170">
        <v>8</v>
      </c>
      <c r="C36" s="170">
        <v>1100</v>
      </c>
      <c r="D36" s="170">
        <v>391</v>
      </c>
      <c r="E36" s="170">
        <v>1038</v>
      </c>
      <c r="F36" s="171">
        <v>373</v>
      </c>
      <c r="G36" s="41"/>
    </row>
    <row r="37" spans="1:8" ht="14.25" customHeight="1">
      <c r="A37" s="56" t="s">
        <v>57</v>
      </c>
      <c r="B37" s="170">
        <v>12</v>
      </c>
      <c r="C37" s="170">
        <v>807</v>
      </c>
      <c r="D37" s="170">
        <v>233</v>
      </c>
      <c r="E37" s="170">
        <v>761</v>
      </c>
      <c r="F37" s="171">
        <v>229</v>
      </c>
      <c r="G37" s="41"/>
    </row>
    <row r="38" spans="1:8" ht="14.25" customHeight="1">
      <c r="A38" s="56" t="s">
        <v>58</v>
      </c>
      <c r="B38" s="170">
        <v>10</v>
      </c>
      <c r="C38" s="170">
        <v>1093</v>
      </c>
      <c r="D38" s="170">
        <v>298</v>
      </c>
      <c r="E38" s="170">
        <v>995</v>
      </c>
      <c r="F38" s="171">
        <v>282</v>
      </c>
      <c r="G38" s="41"/>
    </row>
    <row r="39" spans="1:8" ht="14.25" customHeight="1">
      <c r="A39" s="56" t="s">
        <v>59</v>
      </c>
      <c r="B39" s="170">
        <v>46</v>
      </c>
      <c r="C39" s="170">
        <v>5228</v>
      </c>
      <c r="D39" s="170">
        <v>1617</v>
      </c>
      <c r="E39" s="170">
        <v>5069</v>
      </c>
      <c r="F39" s="171">
        <v>1585</v>
      </c>
      <c r="G39" s="41"/>
    </row>
    <row r="40" spans="1:8" ht="14.25" customHeight="1">
      <c r="A40" s="56" t="s">
        <v>60</v>
      </c>
      <c r="B40" s="170">
        <v>52</v>
      </c>
      <c r="C40" s="170">
        <v>5791</v>
      </c>
      <c r="D40" s="170">
        <v>1967</v>
      </c>
      <c r="E40" s="170">
        <v>5436</v>
      </c>
      <c r="F40" s="171">
        <v>1837</v>
      </c>
      <c r="G40" s="41"/>
    </row>
    <row r="41" spans="1:8" ht="14.25" customHeight="1">
      <c r="A41" s="56" t="s">
        <v>61</v>
      </c>
      <c r="B41" s="170">
        <v>4</v>
      </c>
      <c r="C41" s="170">
        <v>377</v>
      </c>
      <c r="D41" s="170">
        <v>96</v>
      </c>
      <c r="E41" s="170">
        <v>338</v>
      </c>
      <c r="F41" s="205">
        <v>83</v>
      </c>
      <c r="G41" s="41"/>
    </row>
    <row r="42" spans="1:8" ht="14.25" customHeight="1">
      <c r="A42" s="56" t="s">
        <v>62</v>
      </c>
      <c r="B42" s="170">
        <v>12</v>
      </c>
      <c r="C42" s="170">
        <v>898</v>
      </c>
      <c r="D42" s="170">
        <v>239</v>
      </c>
      <c r="E42" s="170">
        <v>833</v>
      </c>
      <c r="F42" s="171">
        <v>225</v>
      </c>
      <c r="G42" s="41"/>
    </row>
    <row r="43" spans="1:8" ht="14.25" customHeight="1">
      <c r="A43" s="56" t="s">
        <v>63</v>
      </c>
      <c r="B43" s="170">
        <v>31</v>
      </c>
      <c r="C43" s="170">
        <v>2562</v>
      </c>
      <c r="D43" s="170">
        <v>888</v>
      </c>
      <c r="E43" s="170">
        <v>2444</v>
      </c>
      <c r="F43" s="171">
        <v>838</v>
      </c>
      <c r="G43" s="41"/>
    </row>
    <row r="44" spans="1:8" ht="14.25" customHeight="1">
      <c r="A44" s="56" t="s">
        <v>64</v>
      </c>
      <c r="B44" s="170">
        <v>11</v>
      </c>
      <c r="C44" s="170">
        <v>904</v>
      </c>
      <c r="D44" s="170">
        <v>232</v>
      </c>
      <c r="E44" s="170">
        <v>747</v>
      </c>
      <c r="F44" s="171">
        <v>183</v>
      </c>
      <c r="G44" s="41"/>
    </row>
    <row r="45" spans="1:8" ht="40.4" customHeight="1">
      <c r="A45" s="553" t="s">
        <v>193</v>
      </c>
      <c r="B45" s="554"/>
      <c r="C45" s="554"/>
      <c r="D45" s="554"/>
      <c r="E45" s="554"/>
      <c r="F45" s="555"/>
      <c r="H45" s="318"/>
    </row>
    <row r="46" spans="1:8" ht="20.149999999999999" customHeight="1">
      <c r="A46" s="88" t="s">
        <v>1168</v>
      </c>
      <c r="B46" s="182">
        <v>740</v>
      </c>
      <c r="C46" s="182">
        <v>57619</v>
      </c>
      <c r="D46" s="182">
        <v>21455</v>
      </c>
      <c r="E46" s="182">
        <v>47286</v>
      </c>
      <c r="F46" s="183">
        <v>17975</v>
      </c>
    </row>
    <row r="47" spans="1:8" ht="14.25" customHeight="1">
      <c r="A47" s="52">
        <v>2024</v>
      </c>
      <c r="B47" s="202">
        <v>792</v>
      </c>
      <c r="C47" s="202">
        <v>65087</v>
      </c>
      <c r="D47" s="202">
        <v>25360</v>
      </c>
      <c r="E47" s="202">
        <v>53813</v>
      </c>
      <c r="F47" s="203">
        <v>21510</v>
      </c>
    </row>
    <row r="48" spans="1:8" ht="14.25" customHeight="1">
      <c r="A48" s="54" t="s">
        <v>49</v>
      </c>
      <c r="B48" s="204">
        <v>67</v>
      </c>
      <c r="C48" s="204">
        <v>4944</v>
      </c>
      <c r="D48" s="204">
        <v>1867</v>
      </c>
      <c r="E48" s="204">
        <v>4028</v>
      </c>
      <c r="F48" s="205">
        <v>1561</v>
      </c>
    </row>
    <row r="49" spans="1:8" ht="14.25" customHeight="1">
      <c r="A49" s="54" t="s">
        <v>50</v>
      </c>
      <c r="B49" s="204">
        <v>47</v>
      </c>
      <c r="C49" s="204">
        <v>2959</v>
      </c>
      <c r="D49" s="204">
        <v>1119</v>
      </c>
      <c r="E49" s="204">
        <v>2518</v>
      </c>
      <c r="F49" s="205">
        <v>990</v>
      </c>
    </row>
    <row r="50" spans="1:8" ht="14.25" customHeight="1">
      <c r="A50" s="54" t="s">
        <v>51</v>
      </c>
      <c r="B50" s="204">
        <v>37</v>
      </c>
      <c r="C50" s="204">
        <v>3426</v>
      </c>
      <c r="D50" s="204">
        <v>1219</v>
      </c>
      <c r="E50" s="204">
        <v>2934</v>
      </c>
      <c r="F50" s="205">
        <v>1048</v>
      </c>
    </row>
    <row r="51" spans="1:8" ht="14.25" customHeight="1">
      <c r="A51" s="54" t="s">
        <v>52</v>
      </c>
      <c r="B51" s="204">
        <v>17</v>
      </c>
      <c r="C51" s="204">
        <v>1045</v>
      </c>
      <c r="D51" s="204">
        <v>417</v>
      </c>
      <c r="E51" s="204">
        <v>831</v>
      </c>
      <c r="F51" s="205">
        <v>343</v>
      </c>
    </row>
    <row r="52" spans="1:8" ht="14.25" customHeight="1">
      <c r="A52" s="54" t="s">
        <v>53</v>
      </c>
      <c r="B52" s="204">
        <v>54</v>
      </c>
      <c r="C52" s="204">
        <v>4098</v>
      </c>
      <c r="D52" s="204">
        <v>1694</v>
      </c>
      <c r="E52" s="204">
        <v>3423</v>
      </c>
      <c r="F52" s="205">
        <v>1502</v>
      </c>
    </row>
    <row r="53" spans="1:8" ht="14.25" customHeight="1">
      <c r="A53" s="54" t="s">
        <v>54</v>
      </c>
      <c r="B53" s="204">
        <v>55</v>
      </c>
      <c r="C53" s="204">
        <v>6513</v>
      </c>
      <c r="D53" s="204">
        <v>2659</v>
      </c>
      <c r="E53" s="204">
        <v>5092</v>
      </c>
      <c r="F53" s="205">
        <v>2173</v>
      </c>
      <c r="G53" s="41"/>
      <c r="H53" s="41"/>
    </row>
    <row r="54" spans="1:8" ht="14.25" customHeight="1">
      <c r="A54" s="56" t="s">
        <v>55</v>
      </c>
      <c r="B54" s="170">
        <v>104</v>
      </c>
      <c r="C54" s="170">
        <v>11517</v>
      </c>
      <c r="D54" s="170">
        <v>4089</v>
      </c>
      <c r="E54" s="170">
        <v>9804</v>
      </c>
      <c r="F54" s="171">
        <v>3559</v>
      </c>
      <c r="G54" s="41"/>
      <c r="H54" s="41"/>
    </row>
    <row r="55" spans="1:8" ht="14.25" customHeight="1">
      <c r="A55" s="56" t="s">
        <v>56</v>
      </c>
      <c r="B55" s="170">
        <v>26</v>
      </c>
      <c r="C55" s="170">
        <v>1438</v>
      </c>
      <c r="D55" s="170">
        <v>600</v>
      </c>
      <c r="E55" s="170">
        <v>1149</v>
      </c>
      <c r="F55" s="171">
        <v>488</v>
      </c>
      <c r="G55" s="41"/>
      <c r="H55" s="41"/>
    </row>
    <row r="56" spans="1:8" ht="14.25" customHeight="1">
      <c r="A56" s="56" t="s">
        <v>57</v>
      </c>
      <c r="B56" s="170">
        <v>52</v>
      </c>
      <c r="C56" s="170">
        <v>3765</v>
      </c>
      <c r="D56" s="170">
        <v>1572</v>
      </c>
      <c r="E56" s="170">
        <v>3165</v>
      </c>
      <c r="F56" s="171">
        <v>1379</v>
      </c>
      <c r="G56" s="41"/>
      <c r="H56" s="41"/>
    </row>
    <row r="57" spans="1:8" ht="14.25" customHeight="1">
      <c r="A57" s="56" t="s">
        <v>58</v>
      </c>
      <c r="B57" s="170">
        <v>24</v>
      </c>
      <c r="C57" s="170">
        <v>1723</v>
      </c>
      <c r="D57" s="170">
        <v>637</v>
      </c>
      <c r="E57" s="170">
        <v>1427</v>
      </c>
      <c r="F57" s="171">
        <v>538</v>
      </c>
      <c r="G57" s="41"/>
      <c r="H57" s="41"/>
    </row>
    <row r="58" spans="1:8" ht="14.25" customHeight="1">
      <c r="A58" s="56" t="s">
        <v>59</v>
      </c>
      <c r="B58" s="170">
        <v>59</v>
      </c>
      <c r="C58" s="170">
        <v>5939</v>
      </c>
      <c r="D58" s="170">
        <v>2369</v>
      </c>
      <c r="E58" s="170">
        <v>5016</v>
      </c>
      <c r="F58" s="171">
        <v>2023</v>
      </c>
      <c r="G58" s="41"/>
      <c r="H58" s="41"/>
    </row>
    <row r="59" spans="1:8" ht="14.25" customHeight="1">
      <c r="A59" s="56" t="s">
        <v>60</v>
      </c>
      <c r="B59" s="170">
        <v>66</v>
      </c>
      <c r="C59" s="170">
        <v>4899</v>
      </c>
      <c r="D59" s="170">
        <v>1829</v>
      </c>
      <c r="E59" s="170">
        <v>3872</v>
      </c>
      <c r="F59" s="171">
        <v>1464</v>
      </c>
      <c r="G59" s="41"/>
      <c r="H59" s="41"/>
    </row>
    <row r="60" spans="1:8" ht="14.25" customHeight="1">
      <c r="A60" s="56" t="s">
        <v>61</v>
      </c>
      <c r="B60" s="170">
        <v>20</v>
      </c>
      <c r="C60" s="170">
        <v>2494</v>
      </c>
      <c r="D60" s="170">
        <v>1115</v>
      </c>
      <c r="E60" s="170">
        <v>1927</v>
      </c>
      <c r="F60" s="171">
        <v>902</v>
      </c>
      <c r="G60" s="41"/>
      <c r="H60" s="41"/>
    </row>
    <row r="61" spans="1:8" ht="14.25" customHeight="1">
      <c r="A61" s="56" t="s">
        <v>62</v>
      </c>
      <c r="B61" s="170">
        <v>16</v>
      </c>
      <c r="C61" s="170">
        <v>1204</v>
      </c>
      <c r="D61" s="170">
        <v>485</v>
      </c>
      <c r="E61" s="170">
        <v>993</v>
      </c>
      <c r="F61" s="171">
        <v>425</v>
      </c>
      <c r="G61" s="41"/>
      <c r="H61" s="41"/>
    </row>
    <row r="62" spans="1:8" ht="14.25" customHeight="1">
      <c r="A62" s="56" t="s">
        <v>63</v>
      </c>
      <c r="B62" s="170">
        <v>100</v>
      </c>
      <c r="C62" s="170">
        <v>5222</v>
      </c>
      <c r="D62" s="170">
        <v>2121</v>
      </c>
      <c r="E62" s="170">
        <v>4168</v>
      </c>
      <c r="F62" s="171">
        <v>1675</v>
      </c>
      <c r="G62" s="41"/>
      <c r="H62" s="41"/>
    </row>
    <row r="63" spans="1:8" ht="14.25" customHeight="1">
      <c r="A63" s="56" t="s">
        <v>64</v>
      </c>
      <c r="B63" s="170">
        <v>48</v>
      </c>
      <c r="C63" s="170">
        <v>3901</v>
      </c>
      <c r="D63" s="170">
        <v>1568</v>
      </c>
      <c r="E63" s="170">
        <v>3466</v>
      </c>
      <c r="F63" s="171">
        <v>1440</v>
      </c>
      <c r="G63" s="41"/>
      <c r="H63" s="41"/>
    </row>
    <row r="64" spans="1:8" ht="40.4" customHeight="1">
      <c r="A64" s="553" t="s">
        <v>194</v>
      </c>
      <c r="B64" s="554"/>
      <c r="C64" s="554"/>
      <c r="D64" s="554"/>
      <c r="E64" s="554"/>
      <c r="F64" s="555"/>
      <c r="H64" s="318"/>
    </row>
    <row r="65" spans="1:8" ht="20.149999999999999" customHeight="1">
      <c r="A65" s="88" t="s">
        <v>1168</v>
      </c>
      <c r="B65" s="182">
        <v>935</v>
      </c>
      <c r="C65" s="182">
        <v>44649</v>
      </c>
      <c r="D65" s="182">
        <v>16599</v>
      </c>
      <c r="E65" s="182">
        <v>39086</v>
      </c>
      <c r="F65" s="183">
        <v>15243</v>
      </c>
    </row>
    <row r="66" spans="1:8" ht="14.25" customHeight="1">
      <c r="A66" s="52">
        <v>2024</v>
      </c>
      <c r="B66" s="202">
        <v>979</v>
      </c>
      <c r="C66" s="202">
        <v>51991</v>
      </c>
      <c r="D66" s="202">
        <v>15950</v>
      </c>
      <c r="E66" s="202">
        <v>45944</v>
      </c>
      <c r="F66" s="203">
        <v>14593</v>
      </c>
    </row>
    <row r="67" spans="1:8" ht="14.25" customHeight="1">
      <c r="A67" s="54" t="s">
        <v>49</v>
      </c>
      <c r="B67" s="204">
        <v>64</v>
      </c>
      <c r="C67" s="204">
        <v>4825</v>
      </c>
      <c r="D67" s="204">
        <v>690</v>
      </c>
      <c r="E67" s="204">
        <v>4277</v>
      </c>
      <c r="F67" s="205">
        <v>601</v>
      </c>
    </row>
    <row r="68" spans="1:8" ht="14.25" customHeight="1">
      <c r="A68" s="54" t="s">
        <v>50</v>
      </c>
      <c r="B68" s="204">
        <v>63</v>
      </c>
      <c r="C68" s="204">
        <v>2736</v>
      </c>
      <c r="D68" s="204">
        <v>930</v>
      </c>
      <c r="E68" s="204">
        <v>2215</v>
      </c>
      <c r="F68" s="205">
        <v>795</v>
      </c>
    </row>
    <row r="69" spans="1:8" ht="14.25" customHeight="1">
      <c r="A69" s="54" t="s">
        <v>51</v>
      </c>
      <c r="B69" s="204">
        <v>59</v>
      </c>
      <c r="C69" s="204">
        <v>2325</v>
      </c>
      <c r="D69" s="204">
        <v>741</v>
      </c>
      <c r="E69" s="204">
        <v>2042</v>
      </c>
      <c r="F69" s="205">
        <v>667</v>
      </c>
    </row>
    <row r="70" spans="1:8" ht="14.25" customHeight="1">
      <c r="A70" s="54" t="s">
        <v>52</v>
      </c>
      <c r="B70" s="204">
        <v>22</v>
      </c>
      <c r="C70" s="204">
        <v>2385</v>
      </c>
      <c r="D70" s="204">
        <v>897</v>
      </c>
      <c r="E70" s="204">
        <v>2220</v>
      </c>
      <c r="F70" s="205">
        <v>866</v>
      </c>
      <c r="G70" s="41"/>
      <c r="H70" s="41"/>
    </row>
    <row r="71" spans="1:8" ht="14.25" customHeight="1">
      <c r="A71" s="54" t="s">
        <v>53</v>
      </c>
      <c r="B71" s="204">
        <v>57</v>
      </c>
      <c r="C71" s="204">
        <v>2832</v>
      </c>
      <c r="D71" s="204">
        <v>1065</v>
      </c>
      <c r="E71" s="204">
        <v>2555</v>
      </c>
      <c r="F71" s="205">
        <v>971</v>
      </c>
      <c r="G71" s="41"/>
      <c r="H71" s="41"/>
    </row>
    <row r="72" spans="1:8" ht="14.25" customHeight="1">
      <c r="A72" s="54" t="s">
        <v>54</v>
      </c>
      <c r="B72" s="204">
        <v>81</v>
      </c>
      <c r="C72" s="204">
        <v>4284</v>
      </c>
      <c r="D72" s="204">
        <v>1278</v>
      </c>
      <c r="E72" s="204">
        <v>3854</v>
      </c>
      <c r="F72" s="205">
        <v>1184</v>
      </c>
      <c r="G72" s="41"/>
      <c r="H72" s="41"/>
    </row>
    <row r="73" spans="1:8" ht="14.25" customHeight="1">
      <c r="A73" s="56" t="s">
        <v>55</v>
      </c>
      <c r="B73" s="170">
        <v>156</v>
      </c>
      <c r="C73" s="170">
        <v>7565</v>
      </c>
      <c r="D73" s="170">
        <v>2342</v>
      </c>
      <c r="E73" s="170">
        <v>6612</v>
      </c>
      <c r="F73" s="171">
        <v>2092</v>
      </c>
      <c r="G73" s="41"/>
      <c r="H73" s="41"/>
    </row>
    <row r="74" spans="1:8" ht="14.25" customHeight="1">
      <c r="A74" s="56" t="s">
        <v>56</v>
      </c>
      <c r="B74" s="170">
        <v>25</v>
      </c>
      <c r="C74" s="170">
        <v>1189</v>
      </c>
      <c r="D74" s="170">
        <v>292</v>
      </c>
      <c r="E74" s="170">
        <v>996</v>
      </c>
      <c r="F74" s="171">
        <v>245</v>
      </c>
      <c r="G74" s="41"/>
      <c r="H74" s="41"/>
    </row>
    <row r="75" spans="1:8" ht="14.25" customHeight="1">
      <c r="A75" s="56" t="s">
        <v>57</v>
      </c>
      <c r="B75" s="170">
        <v>80</v>
      </c>
      <c r="C75" s="170">
        <v>2529</v>
      </c>
      <c r="D75" s="170">
        <v>858</v>
      </c>
      <c r="E75" s="170">
        <v>2342</v>
      </c>
      <c r="F75" s="171">
        <v>804</v>
      </c>
      <c r="G75" s="41"/>
      <c r="H75" s="41"/>
    </row>
    <row r="76" spans="1:8" ht="14.25" customHeight="1">
      <c r="A76" s="56" t="s">
        <v>58</v>
      </c>
      <c r="B76" s="170">
        <v>33</v>
      </c>
      <c r="C76" s="170">
        <v>1920</v>
      </c>
      <c r="D76" s="170">
        <v>707</v>
      </c>
      <c r="E76" s="170">
        <v>1626</v>
      </c>
      <c r="F76" s="171">
        <v>630</v>
      </c>
      <c r="G76" s="41"/>
      <c r="H76" s="41"/>
    </row>
    <row r="77" spans="1:8" ht="14.25" customHeight="1">
      <c r="A77" s="56" t="s">
        <v>59</v>
      </c>
      <c r="B77" s="170">
        <v>66</v>
      </c>
      <c r="C77" s="170">
        <v>3235</v>
      </c>
      <c r="D77" s="170">
        <v>1017</v>
      </c>
      <c r="E77" s="170">
        <v>2875</v>
      </c>
      <c r="F77" s="171">
        <v>858</v>
      </c>
      <c r="G77" s="41"/>
      <c r="H77" s="41"/>
    </row>
    <row r="78" spans="1:8" ht="14.25" customHeight="1">
      <c r="A78" s="56" t="s">
        <v>60</v>
      </c>
      <c r="B78" s="170">
        <v>77</v>
      </c>
      <c r="C78" s="170">
        <v>6055</v>
      </c>
      <c r="D78" s="170">
        <v>1641</v>
      </c>
      <c r="E78" s="170">
        <v>5582</v>
      </c>
      <c r="F78" s="171">
        <v>1556</v>
      </c>
      <c r="G78" s="41"/>
      <c r="H78" s="41"/>
    </row>
    <row r="79" spans="1:8" ht="14.25" customHeight="1">
      <c r="A79" s="56" t="s">
        <v>61</v>
      </c>
      <c r="B79" s="170">
        <v>15</v>
      </c>
      <c r="C79" s="170">
        <v>420</v>
      </c>
      <c r="D79" s="170">
        <v>215</v>
      </c>
      <c r="E79" s="170">
        <v>372</v>
      </c>
      <c r="F79" s="171">
        <v>197</v>
      </c>
      <c r="G79" s="41"/>
      <c r="H79" s="41"/>
    </row>
    <row r="80" spans="1:8" ht="14.25" customHeight="1">
      <c r="A80" s="56" t="s">
        <v>62</v>
      </c>
      <c r="B80" s="170">
        <v>34</v>
      </c>
      <c r="C80" s="170">
        <v>1278</v>
      </c>
      <c r="D80" s="170">
        <v>444</v>
      </c>
      <c r="E80" s="170">
        <v>1082</v>
      </c>
      <c r="F80" s="171">
        <v>444</v>
      </c>
      <c r="G80" s="41"/>
      <c r="H80" s="41"/>
    </row>
    <row r="81" spans="1:8" ht="14.25" customHeight="1">
      <c r="A81" s="56" t="s">
        <v>63</v>
      </c>
      <c r="B81" s="170">
        <v>103</v>
      </c>
      <c r="C81" s="170">
        <v>6143</v>
      </c>
      <c r="D81" s="170">
        <v>2237</v>
      </c>
      <c r="E81" s="170">
        <v>5327</v>
      </c>
      <c r="F81" s="171">
        <v>2114</v>
      </c>
      <c r="G81" s="41"/>
      <c r="H81" s="41"/>
    </row>
    <row r="82" spans="1:8" ht="14.25" customHeight="1">
      <c r="A82" s="56" t="s">
        <v>64</v>
      </c>
      <c r="B82" s="170">
        <v>44</v>
      </c>
      <c r="C82" s="170">
        <v>2270</v>
      </c>
      <c r="D82" s="170">
        <v>596</v>
      </c>
      <c r="E82" s="170">
        <v>1967</v>
      </c>
      <c r="F82" s="171">
        <v>569</v>
      </c>
      <c r="G82" s="41"/>
      <c r="H82" s="41"/>
    </row>
    <row r="83" spans="1:8" ht="40.4" customHeight="1">
      <c r="A83" s="553" t="s">
        <v>1078</v>
      </c>
      <c r="B83" s="554"/>
      <c r="C83" s="554"/>
      <c r="D83" s="554"/>
      <c r="E83" s="554"/>
      <c r="F83" s="555"/>
      <c r="H83" s="318"/>
    </row>
    <row r="84" spans="1:8" ht="19.399999999999999" customHeight="1">
      <c r="A84" s="88" t="s">
        <v>1168</v>
      </c>
      <c r="B84" s="182">
        <v>1066</v>
      </c>
      <c r="C84" s="182">
        <v>44127</v>
      </c>
      <c r="D84" s="182">
        <v>21681</v>
      </c>
      <c r="E84" s="182">
        <v>33974</v>
      </c>
      <c r="F84" s="183">
        <v>17950</v>
      </c>
    </row>
    <row r="85" spans="1:8" ht="14.25" customHeight="1">
      <c r="A85" s="52">
        <v>2024</v>
      </c>
      <c r="B85" s="202">
        <v>1154</v>
      </c>
      <c r="C85" s="202">
        <v>50659</v>
      </c>
      <c r="D85" s="202">
        <v>26323</v>
      </c>
      <c r="E85" s="202">
        <v>38870</v>
      </c>
      <c r="F85" s="203">
        <v>21477</v>
      </c>
    </row>
    <row r="86" spans="1:8" ht="14.25" customHeight="1">
      <c r="A86" s="54" t="s">
        <v>49</v>
      </c>
      <c r="B86" s="204">
        <v>76</v>
      </c>
      <c r="C86" s="204">
        <v>4222</v>
      </c>
      <c r="D86" s="204">
        <v>2362</v>
      </c>
      <c r="E86" s="204">
        <v>2889</v>
      </c>
      <c r="F86" s="205">
        <v>1755</v>
      </c>
    </row>
    <row r="87" spans="1:8" ht="14.25" customHeight="1">
      <c r="A87" s="54" t="s">
        <v>50</v>
      </c>
      <c r="B87" s="204">
        <v>57</v>
      </c>
      <c r="C87" s="204">
        <v>2704</v>
      </c>
      <c r="D87" s="204">
        <v>1528</v>
      </c>
      <c r="E87" s="204">
        <v>2128</v>
      </c>
      <c r="F87" s="205">
        <v>1258</v>
      </c>
    </row>
    <row r="88" spans="1:8" ht="14.25" customHeight="1">
      <c r="A88" s="54" t="s">
        <v>51</v>
      </c>
      <c r="B88" s="204">
        <v>57</v>
      </c>
      <c r="C88" s="204">
        <v>2181</v>
      </c>
      <c r="D88" s="204">
        <v>1038</v>
      </c>
      <c r="E88" s="204">
        <v>1857</v>
      </c>
      <c r="F88" s="205">
        <v>896</v>
      </c>
    </row>
    <row r="89" spans="1:8" ht="14.25" customHeight="1">
      <c r="A89" s="54" t="s">
        <v>52</v>
      </c>
      <c r="B89" s="204">
        <v>30</v>
      </c>
      <c r="C89" s="204">
        <v>1534</v>
      </c>
      <c r="D89" s="204">
        <v>775</v>
      </c>
      <c r="E89" s="204">
        <v>1254</v>
      </c>
      <c r="F89" s="205">
        <v>673</v>
      </c>
    </row>
    <row r="90" spans="1:8" ht="14.25" customHeight="1">
      <c r="A90" s="54" t="s">
        <v>53</v>
      </c>
      <c r="B90" s="204">
        <v>84</v>
      </c>
      <c r="C90" s="204">
        <v>3779</v>
      </c>
      <c r="D90" s="204">
        <v>1963</v>
      </c>
      <c r="E90" s="204">
        <v>2729</v>
      </c>
      <c r="F90" s="205">
        <v>1535</v>
      </c>
    </row>
    <row r="91" spans="1:8" ht="14.25" customHeight="1">
      <c r="A91" s="54" t="s">
        <v>54</v>
      </c>
      <c r="B91" s="204">
        <v>78</v>
      </c>
      <c r="C91" s="204">
        <v>3051</v>
      </c>
      <c r="D91" s="204">
        <v>1560</v>
      </c>
      <c r="E91" s="204">
        <v>2249</v>
      </c>
      <c r="F91" s="205">
        <v>1206</v>
      </c>
    </row>
    <row r="92" spans="1:8" ht="14.25" customHeight="1">
      <c r="A92" s="56" t="s">
        <v>55</v>
      </c>
      <c r="B92" s="170">
        <v>165</v>
      </c>
      <c r="C92" s="170">
        <v>7717</v>
      </c>
      <c r="D92" s="170">
        <v>4004</v>
      </c>
      <c r="E92" s="170">
        <v>5468</v>
      </c>
      <c r="F92" s="171">
        <v>3035</v>
      </c>
    </row>
    <row r="93" spans="1:8" ht="14.25" customHeight="1">
      <c r="A93" s="56" t="s">
        <v>56</v>
      </c>
      <c r="B93" s="170">
        <v>30</v>
      </c>
      <c r="C93" s="170">
        <v>1562</v>
      </c>
      <c r="D93" s="170">
        <v>719</v>
      </c>
      <c r="E93" s="170">
        <v>1154</v>
      </c>
      <c r="F93" s="171">
        <v>572</v>
      </c>
      <c r="G93" s="41"/>
      <c r="H93" s="41"/>
    </row>
    <row r="94" spans="1:8" ht="14.25" customHeight="1">
      <c r="A94" s="56" t="s">
        <v>57</v>
      </c>
      <c r="B94" s="170">
        <v>65</v>
      </c>
      <c r="C94" s="170">
        <v>2525</v>
      </c>
      <c r="D94" s="170">
        <v>1308</v>
      </c>
      <c r="E94" s="170">
        <v>2036</v>
      </c>
      <c r="F94" s="171">
        <v>1138</v>
      </c>
      <c r="G94" s="41"/>
      <c r="H94" s="41"/>
    </row>
    <row r="95" spans="1:8" ht="14.25" customHeight="1">
      <c r="A95" s="56" t="s">
        <v>58</v>
      </c>
      <c r="B95" s="170">
        <v>39</v>
      </c>
      <c r="C95" s="170">
        <v>1718</v>
      </c>
      <c r="D95" s="170">
        <v>863</v>
      </c>
      <c r="E95" s="170">
        <v>1452</v>
      </c>
      <c r="F95" s="171">
        <v>751</v>
      </c>
      <c r="G95" s="41"/>
      <c r="H95" s="41"/>
    </row>
    <row r="96" spans="1:8" ht="14.25" customHeight="1">
      <c r="A96" s="56" t="s">
        <v>59</v>
      </c>
      <c r="B96" s="170">
        <v>98</v>
      </c>
      <c r="C96" s="170">
        <v>4561</v>
      </c>
      <c r="D96" s="170">
        <v>2442</v>
      </c>
      <c r="E96" s="170">
        <v>3803</v>
      </c>
      <c r="F96" s="171">
        <v>2125</v>
      </c>
      <c r="G96" s="41"/>
      <c r="H96" s="41"/>
    </row>
    <row r="97" spans="1:8" ht="14.25" customHeight="1">
      <c r="A97" s="56" t="s">
        <v>60</v>
      </c>
      <c r="B97" s="170">
        <v>83</v>
      </c>
      <c r="C97" s="170">
        <v>3925</v>
      </c>
      <c r="D97" s="170">
        <v>1973</v>
      </c>
      <c r="E97" s="170">
        <v>3006</v>
      </c>
      <c r="F97" s="171">
        <v>1610</v>
      </c>
      <c r="G97" s="41"/>
      <c r="H97" s="41"/>
    </row>
    <row r="98" spans="1:8" ht="14.25" customHeight="1">
      <c r="A98" s="56" t="s">
        <v>61</v>
      </c>
      <c r="B98" s="170">
        <v>22</v>
      </c>
      <c r="C98" s="170">
        <v>767</v>
      </c>
      <c r="D98" s="170">
        <v>415</v>
      </c>
      <c r="E98" s="170">
        <v>643</v>
      </c>
      <c r="F98" s="171">
        <v>359</v>
      </c>
      <c r="G98" s="41"/>
      <c r="H98" s="41"/>
    </row>
    <row r="99" spans="1:8" ht="14.25" customHeight="1">
      <c r="A99" s="56" t="s">
        <v>62</v>
      </c>
      <c r="B99" s="170">
        <v>37</v>
      </c>
      <c r="C99" s="170">
        <v>1256</v>
      </c>
      <c r="D99" s="170">
        <v>722</v>
      </c>
      <c r="E99" s="170">
        <v>1092</v>
      </c>
      <c r="F99" s="171">
        <v>653</v>
      </c>
      <c r="G99" s="41"/>
      <c r="H99" s="41"/>
    </row>
    <row r="100" spans="1:8" ht="14.25" customHeight="1">
      <c r="A100" s="56" t="s">
        <v>63</v>
      </c>
      <c r="B100" s="170">
        <v>139</v>
      </c>
      <c r="C100" s="170">
        <v>5625</v>
      </c>
      <c r="D100" s="170">
        <v>2871</v>
      </c>
      <c r="E100" s="170">
        <v>4337</v>
      </c>
      <c r="F100" s="171">
        <v>2397</v>
      </c>
      <c r="G100" s="41"/>
      <c r="H100" s="41"/>
    </row>
    <row r="101" spans="1:8" ht="14.25" customHeight="1">
      <c r="A101" s="56" t="s">
        <v>64</v>
      </c>
      <c r="B101" s="170">
        <v>94</v>
      </c>
      <c r="C101" s="170">
        <v>3532</v>
      </c>
      <c r="D101" s="170">
        <v>1780</v>
      </c>
      <c r="E101" s="170">
        <v>2773</v>
      </c>
      <c r="F101" s="171">
        <v>1514</v>
      </c>
      <c r="G101" s="41"/>
      <c r="H101" s="41"/>
    </row>
    <row r="102" spans="1:8" ht="40.4" customHeight="1">
      <c r="A102" s="553" t="s">
        <v>195</v>
      </c>
      <c r="B102" s="554"/>
      <c r="C102" s="554"/>
      <c r="D102" s="554"/>
      <c r="E102" s="554"/>
      <c r="F102" s="555"/>
      <c r="H102" s="318"/>
    </row>
    <row r="103" spans="1:8" ht="19.399999999999999" customHeight="1">
      <c r="A103" s="88" t="s">
        <v>1168</v>
      </c>
      <c r="B103" s="182">
        <v>109</v>
      </c>
      <c r="C103" s="182">
        <v>3632</v>
      </c>
      <c r="D103" s="182">
        <v>1660</v>
      </c>
      <c r="E103" s="182">
        <v>3207</v>
      </c>
      <c r="F103" s="183">
        <v>1491</v>
      </c>
    </row>
    <row r="104" spans="1:8" ht="14.25" customHeight="1">
      <c r="A104" s="52">
        <v>2024</v>
      </c>
      <c r="B104" s="202">
        <v>97</v>
      </c>
      <c r="C104" s="202">
        <v>3091</v>
      </c>
      <c r="D104" s="202">
        <v>1483</v>
      </c>
      <c r="E104" s="202">
        <v>2700</v>
      </c>
      <c r="F104" s="203">
        <v>1329</v>
      </c>
    </row>
    <row r="105" spans="1:8" ht="14.25" customHeight="1">
      <c r="A105" s="54" t="s">
        <v>49</v>
      </c>
      <c r="B105" s="204">
        <v>9</v>
      </c>
      <c r="C105" s="204">
        <v>211</v>
      </c>
      <c r="D105" s="204">
        <v>125</v>
      </c>
      <c r="E105" s="204">
        <v>182</v>
      </c>
      <c r="F105" s="205">
        <v>113</v>
      </c>
    </row>
    <row r="106" spans="1:8" ht="14.25" customHeight="1">
      <c r="A106" s="54" t="s">
        <v>50</v>
      </c>
      <c r="B106" s="205" t="s">
        <v>1074</v>
      </c>
      <c r="C106" s="205" t="s">
        <v>1074</v>
      </c>
      <c r="D106" s="205" t="s">
        <v>1074</v>
      </c>
      <c r="E106" s="171" t="s">
        <v>1074</v>
      </c>
      <c r="F106" s="171" t="s">
        <v>1074</v>
      </c>
    </row>
    <row r="107" spans="1:8" ht="14.25" customHeight="1">
      <c r="A107" s="54" t="s">
        <v>51</v>
      </c>
      <c r="B107" s="204">
        <v>3</v>
      </c>
      <c r="C107" s="204">
        <v>188</v>
      </c>
      <c r="D107" s="204">
        <v>132</v>
      </c>
      <c r="E107" s="204">
        <v>174</v>
      </c>
      <c r="F107" s="205">
        <v>129</v>
      </c>
    </row>
    <row r="108" spans="1:8" ht="14.25" customHeight="1">
      <c r="A108" s="54" t="s">
        <v>52</v>
      </c>
      <c r="B108" s="171" t="s">
        <v>1074</v>
      </c>
      <c r="C108" s="171" t="s">
        <v>1074</v>
      </c>
      <c r="D108" s="171" t="s">
        <v>1074</v>
      </c>
      <c r="E108" s="171" t="s">
        <v>1074</v>
      </c>
      <c r="F108" s="171" t="s">
        <v>1074</v>
      </c>
    </row>
    <row r="109" spans="1:8" ht="14.25" customHeight="1">
      <c r="A109" s="54" t="s">
        <v>53</v>
      </c>
      <c r="B109" s="204">
        <v>2</v>
      </c>
      <c r="C109" s="204">
        <v>72</v>
      </c>
      <c r="D109" s="204">
        <v>8</v>
      </c>
      <c r="E109" s="204">
        <v>28</v>
      </c>
      <c r="F109" s="207">
        <v>4</v>
      </c>
    </row>
    <row r="110" spans="1:8" ht="14.25" customHeight="1">
      <c r="A110" s="54" t="s">
        <v>54</v>
      </c>
      <c r="B110" s="204">
        <v>38</v>
      </c>
      <c r="C110" s="204">
        <v>1358</v>
      </c>
      <c r="D110" s="204">
        <v>657</v>
      </c>
      <c r="E110" s="204">
        <v>1253</v>
      </c>
      <c r="F110" s="207">
        <v>598</v>
      </c>
    </row>
    <row r="111" spans="1:8" ht="14.25" customHeight="1">
      <c r="A111" s="56" t="s">
        <v>55</v>
      </c>
      <c r="B111" s="170">
        <v>6</v>
      </c>
      <c r="C111" s="170">
        <v>135</v>
      </c>
      <c r="D111" s="170">
        <v>67</v>
      </c>
      <c r="E111" s="170">
        <v>104</v>
      </c>
      <c r="F111" s="207">
        <v>52</v>
      </c>
      <c r="G111" s="41"/>
      <c r="H111" s="41"/>
    </row>
    <row r="112" spans="1:8" ht="14.25" customHeight="1">
      <c r="A112" s="56" t="s">
        <v>56</v>
      </c>
      <c r="B112" s="170" t="s">
        <v>1074</v>
      </c>
      <c r="C112" s="170" t="s">
        <v>1074</v>
      </c>
      <c r="D112" s="170" t="s">
        <v>1074</v>
      </c>
      <c r="E112" s="170" t="s">
        <v>1074</v>
      </c>
      <c r="F112" s="171" t="s">
        <v>1074</v>
      </c>
      <c r="G112" s="41"/>
      <c r="H112" s="41"/>
    </row>
    <row r="113" spans="1:8" ht="14.25" customHeight="1">
      <c r="A113" s="56" t="s">
        <v>57</v>
      </c>
      <c r="B113" s="170">
        <v>14</v>
      </c>
      <c r="C113" s="170">
        <v>451</v>
      </c>
      <c r="D113" s="170">
        <v>214</v>
      </c>
      <c r="E113" s="170">
        <v>397</v>
      </c>
      <c r="F113" s="207">
        <v>190</v>
      </c>
      <c r="G113" s="41"/>
      <c r="H113" s="41"/>
    </row>
    <row r="114" spans="1:8" ht="14.25" customHeight="1">
      <c r="A114" s="56" t="s">
        <v>58</v>
      </c>
      <c r="B114" s="170">
        <v>5</v>
      </c>
      <c r="C114" s="170">
        <v>88</v>
      </c>
      <c r="D114" s="170">
        <v>49</v>
      </c>
      <c r="E114" s="170">
        <v>77</v>
      </c>
      <c r="F114" s="207">
        <v>41</v>
      </c>
      <c r="G114" s="41"/>
      <c r="H114" s="41"/>
    </row>
    <row r="115" spans="1:8" ht="14.25" customHeight="1">
      <c r="A115" s="56" t="s">
        <v>59</v>
      </c>
      <c r="B115" s="170">
        <v>1</v>
      </c>
      <c r="C115" s="170">
        <v>10</v>
      </c>
      <c r="D115" s="170">
        <v>5</v>
      </c>
      <c r="E115" s="205" t="s">
        <v>1074</v>
      </c>
      <c r="F115" s="205" t="s">
        <v>1074</v>
      </c>
      <c r="G115" s="41"/>
      <c r="H115" s="41"/>
    </row>
    <row r="116" spans="1:8" ht="14.25" customHeight="1">
      <c r="A116" s="56" t="s">
        <v>60</v>
      </c>
      <c r="B116" s="170">
        <v>14</v>
      </c>
      <c r="C116" s="170">
        <v>470</v>
      </c>
      <c r="D116" s="170">
        <v>206</v>
      </c>
      <c r="E116" s="170">
        <v>377</v>
      </c>
      <c r="F116" s="171">
        <v>182</v>
      </c>
      <c r="G116" s="41"/>
      <c r="H116" s="41"/>
    </row>
    <row r="117" spans="1:8" ht="14.25" customHeight="1">
      <c r="A117" s="56" t="s">
        <v>61</v>
      </c>
      <c r="B117" s="170" t="s">
        <v>1074</v>
      </c>
      <c r="C117" s="170" t="s">
        <v>1074</v>
      </c>
      <c r="D117" s="170" t="s">
        <v>1074</v>
      </c>
      <c r="E117" s="205" t="s">
        <v>1074</v>
      </c>
      <c r="F117" s="205" t="s">
        <v>1074</v>
      </c>
      <c r="G117" s="41"/>
      <c r="H117" s="41"/>
    </row>
    <row r="118" spans="1:8" ht="14.25" customHeight="1">
      <c r="A118" s="56" t="s">
        <v>62</v>
      </c>
      <c r="B118" s="171">
        <v>1</v>
      </c>
      <c r="C118" s="171">
        <v>18</v>
      </c>
      <c r="D118" s="171">
        <v>10</v>
      </c>
      <c r="E118" s="171">
        <v>18</v>
      </c>
      <c r="F118" s="171">
        <v>10</v>
      </c>
      <c r="G118" s="41"/>
      <c r="H118" s="41"/>
    </row>
    <row r="119" spans="1:8" ht="14.25" customHeight="1">
      <c r="A119" s="56" t="s">
        <v>63</v>
      </c>
      <c r="B119" s="170">
        <v>2</v>
      </c>
      <c r="C119" s="170">
        <v>40</v>
      </c>
      <c r="D119" s="205" t="s">
        <v>1074</v>
      </c>
      <c r="E119" s="170">
        <v>40</v>
      </c>
      <c r="F119" s="205" t="s">
        <v>1074</v>
      </c>
      <c r="G119" s="41"/>
      <c r="H119" s="41"/>
    </row>
    <row r="120" spans="1:8" ht="14.25" customHeight="1">
      <c r="A120" s="56" t="s">
        <v>64</v>
      </c>
      <c r="B120" s="171">
        <v>2</v>
      </c>
      <c r="C120" s="171">
        <v>50</v>
      </c>
      <c r="D120" s="171">
        <v>10</v>
      </c>
      <c r="E120" s="171">
        <v>50</v>
      </c>
      <c r="F120" s="171">
        <v>10</v>
      </c>
      <c r="G120" s="41"/>
      <c r="H120" s="41"/>
    </row>
    <row r="121" spans="1:8" ht="40.4" customHeight="1">
      <c r="A121" s="553" t="s">
        <v>954</v>
      </c>
      <c r="B121" s="554"/>
      <c r="C121" s="554"/>
      <c r="D121" s="554"/>
      <c r="E121" s="554"/>
      <c r="F121" s="555"/>
      <c r="H121" s="318"/>
    </row>
    <row r="122" spans="1:8" ht="20.5">
      <c r="A122" s="88" t="s">
        <v>1168</v>
      </c>
      <c r="B122" s="182">
        <v>6424</v>
      </c>
      <c r="C122" s="182">
        <v>435462</v>
      </c>
      <c r="D122" s="182">
        <v>28195</v>
      </c>
      <c r="E122" s="182">
        <v>319743</v>
      </c>
      <c r="F122" s="183">
        <v>24309</v>
      </c>
    </row>
    <row r="123" spans="1:8">
      <c r="A123" s="52">
        <v>2024</v>
      </c>
      <c r="B123" s="202">
        <v>6968</v>
      </c>
      <c r="C123" s="202">
        <v>569574</v>
      </c>
      <c r="D123" s="202">
        <v>38532</v>
      </c>
      <c r="E123" s="202">
        <v>445381</v>
      </c>
      <c r="F123" s="203">
        <v>34297</v>
      </c>
    </row>
    <row r="124" spans="1:8">
      <c r="A124" s="54" t="s">
        <v>49</v>
      </c>
      <c r="B124" s="204">
        <v>642</v>
      </c>
      <c r="C124" s="204">
        <v>48280</v>
      </c>
      <c r="D124" s="204">
        <v>3214</v>
      </c>
      <c r="E124" s="204">
        <v>34221</v>
      </c>
      <c r="F124" s="205">
        <v>2827</v>
      </c>
    </row>
    <row r="125" spans="1:8">
      <c r="A125" s="54" t="s">
        <v>50</v>
      </c>
      <c r="B125" s="204">
        <v>297</v>
      </c>
      <c r="C125" s="204">
        <v>25634</v>
      </c>
      <c r="D125" s="204">
        <v>1544</v>
      </c>
      <c r="E125" s="204">
        <v>21033</v>
      </c>
      <c r="F125" s="205">
        <v>1409</v>
      </c>
    </row>
    <row r="126" spans="1:8">
      <c r="A126" s="54" t="s">
        <v>51</v>
      </c>
      <c r="B126" s="204">
        <v>415</v>
      </c>
      <c r="C126" s="204">
        <v>30775</v>
      </c>
      <c r="D126" s="204">
        <v>2571</v>
      </c>
      <c r="E126" s="204">
        <v>24435</v>
      </c>
      <c r="F126" s="205">
        <v>2302</v>
      </c>
    </row>
    <row r="127" spans="1:8">
      <c r="A127" s="54" t="s">
        <v>52</v>
      </c>
      <c r="B127" s="204">
        <v>201</v>
      </c>
      <c r="C127" s="204">
        <v>12569</v>
      </c>
      <c r="D127" s="204">
        <v>457</v>
      </c>
      <c r="E127" s="204">
        <v>8448</v>
      </c>
      <c r="F127" s="205">
        <v>424</v>
      </c>
      <c r="G127" s="41"/>
      <c r="H127" s="41"/>
    </row>
    <row r="128" spans="1:8">
      <c r="A128" s="54" t="s">
        <v>53</v>
      </c>
      <c r="B128" s="204">
        <v>392</v>
      </c>
      <c r="C128" s="204">
        <v>30007</v>
      </c>
      <c r="D128" s="204">
        <v>1994</v>
      </c>
      <c r="E128" s="204">
        <v>22872</v>
      </c>
      <c r="F128" s="205">
        <v>1769</v>
      </c>
      <c r="G128" s="41"/>
      <c r="H128" s="41"/>
    </row>
    <row r="129" spans="1:8">
      <c r="A129" s="54" t="s">
        <v>54</v>
      </c>
      <c r="B129" s="204">
        <v>815</v>
      </c>
      <c r="C129" s="204">
        <v>69247</v>
      </c>
      <c r="D129" s="204">
        <v>5179</v>
      </c>
      <c r="E129" s="204">
        <v>53720</v>
      </c>
      <c r="F129" s="205">
        <v>4506</v>
      </c>
      <c r="G129" s="41"/>
      <c r="H129" s="41"/>
    </row>
    <row r="130" spans="1:8">
      <c r="A130" s="56" t="s">
        <v>55</v>
      </c>
      <c r="B130" s="170">
        <v>652</v>
      </c>
      <c r="C130" s="170">
        <v>71926</v>
      </c>
      <c r="D130" s="170">
        <v>4690</v>
      </c>
      <c r="E130" s="170">
        <v>61982</v>
      </c>
      <c r="F130" s="171">
        <v>4172</v>
      </c>
      <c r="G130" s="41"/>
      <c r="H130" s="41"/>
    </row>
    <row r="131" spans="1:8">
      <c r="A131" s="56" t="s">
        <v>56</v>
      </c>
      <c r="B131" s="170">
        <v>309</v>
      </c>
      <c r="C131" s="170">
        <v>18971</v>
      </c>
      <c r="D131" s="170">
        <v>989</v>
      </c>
      <c r="E131" s="170">
        <v>12026</v>
      </c>
      <c r="F131" s="171">
        <v>799</v>
      </c>
      <c r="G131" s="41"/>
      <c r="H131" s="41"/>
    </row>
    <row r="132" spans="1:8">
      <c r="A132" s="56" t="s">
        <v>57</v>
      </c>
      <c r="B132" s="170">
        <v>814</v>
      </c>
      <c r="C132" s="170">
        <v>45780</v>
      </c>
      <c r="D132" s="170">
        <v>2868</v>
      </c>
      <c r="E132" s="170">
        <v>31992</v>
      </c>
      <c r="F132" s="171">
        <v>2512</v>
      </c>
      <c r="G132" s="41"/>
      <c r="H132" s="41"/>
    </row>
    <row r="133" spans="1:8">
      <c r="A133" s="56" t="s">
        <v>58</v>
      </c>
      <c r="B133" s="170">
        <v>115</v>
      </c>
      <c r="C133" s="170">
        <v>11275</v>
      </c>
      <c r="D133" s="170">
        <v>796</v>
      </c>
      <c r="E133" s="170">
        <v>9261</v>
      </c>
      <c r="F133" s="171">
        <v>728</v>
      </c>
      <c r="G133" s="41"/>
      <c r="H133" s="41"/>
    </row>
    <row r="134" spans="1:8">
      <c r="A134" s="56" t="s">
        <v>59</v>
      </c>
      <c r="B134" s="170">
        <v>348</v>
      </c>
      <c r="C134" s="170">
        <v>31011</v>
      </c>
      <c r="D134" s="170">
        <v>2783</v>
      </c>
      <c r="E134" s="170">
        <v>26420</v>
      </c>
      <c r="F134" s="171">
        <v>2595</v>
      </c>
      <c r="G134" s="41"/>
      <c r="H134" s="41"/>
    </row>
    <row r="135" spans="1:8">
      <c r="A135" s="56" t="s">
        <v>60</v>
      </c>
      <c r="B135" s="170">
        <v>646</v>
      </c>
      <c r="C135" s="170">
        <v>63551</v>
      </c>
      <c r="D135" s="170">
        <v>4002</v>
      </c>
      <c r="E135" s="170">
        <v>51316</v>
      </c>
      <c r="F135" s="171">
        <v>3617</v>
      </c>
      <c r="G135" s="41"/>
      <c r="H135" s="41"/>
    </row>
    <row r="136" spans="1:8">
      <c r="A136" s="56" t="s">
        <v>61</v>
      </c>
      <c r="B136" s="170">
        <v>181</v>
      </c>
      <c r="C136" s="170">
        <v>14297</v>
      </c>
      <c r="D136" s="170">
        <v>903</v>
      </c>
      <c r="E136" s="170">
        <v>11460</v>
      </c>
      <c r="F136" s="171">
        <v>825</v>
      </c>
      <c r="G136" s="41"/>
      <c r="H136" s="41"/>
    </row>
    <row r="137" spans="1:8">
      <c r="A137" s="56" t="s">
        <v>62</v>
      </c>
      <c r="B137" s="170">
        <v>208</v>
      </c>
      <c r="C137" s="170">
        <v>15763</v>
      </c>
      <c r="D137" s="170">
        <v>1104</v>
      </c>
      <c r="E137" s="170">
        <v>12318</v>
      </c>
      <c r="F137" s="171">
        <v>990</v>
      </c>
      <c r="G137" s="41"/>
      <c r="H137" s="41"/>
    </row>
    <row r="138" spans="1:8">
      <c r="A138" s="56" t="s">
        <v>63</v>
      </c>
      <c r="B138" s="170">
        <v>588</v>
      </c>
      <c r="C138" s="170">
        <v>50581</v>
      </c>
      <c r="D138" s="170">
        <v>3528</v>
      </c>
      <c r="E138" s="170">
        <v>40175</v>
      </c>
      <c r="F138" s="171">
        <v>3045</v>
      </c>
      <c r="G138" s="41"/>
      <c r="H138" s="41"/>
    </row>
    <row r="139" spans="1:8">
      <c r="A139" s="56" t="s">
        <v>64</v>
      </c>
      <c r="B139" s="170">
        <v>345</v>
      </c>
      <c r="C139" s="170">
        <v>29907</v>
      </c>
      <c r="D139" s="170">
        <v>1910</v>
      </c>
      <c r="E139" s="170">
        <v>23702</v>
      </c>
      <c r="F139" s="171">
        <v>1777</v>
      </c>
      <c r="G139" s="41"/>
      <c r="H139" s="41"/>
    </row>
    <row r="140" spans="1:8" ht="40.4" customHeight="1">
      <c r="A140" s="553" t="s">
        <v>21</v>
      </c>
      <c r="B140" s="554"/>
      <c r="C140" s="554"/>
      <c r="D140" s="554"/>
      <c r="E140" s="554"/>
      <c r="F140" s="555"/>
      <c r="H140" s="318"/>
    </row>
    <row r="141" spans="1:8" ht="20.5">
      <c r="A141" s="88" t="s">
        <v>1168</v>
      </c>
      <c r="B141" s="182">
        <v>734</v>
      </c>
      <c r="C141" s="182">
        <v>32031</v>
      </c>
      <c r="D141" s="182">
        <v>13616</v>
      </c>
      <c r="E141" s="182">
        <v>27441</v>
      </c>
      <c r="F141" s="183">
        <v>12225</v>
      </c>
    </row>
    <row r="142" spans="1:8" ht="14.25" customHeight="1">
      <c r="A142" s="52">
        <v>2024</v>
      </c>
      <c r="B142" s="202">
        <v>706</v>
      </c>
      <c r="C142" s="202">
        <v>36365</v>
      </c>
      <c r="D142" s="202">
        <v>16299</v>
      </c>
      <c r="E142" s="202">
        <v>31559</v>
      </c>
      <c r="F142" s="203">
        <v>14715</v>
      </c>
    </row>
    <row r="143" spans="1:8" ht="14.25" customHeight="1">
      <c r="A143" s="54" t="s">
        <v>49</v>
      </c>
      <c r="B143" s="204">
        <v>44</v>
      </c>
      <c r="C143" s="204">
        <v>4104</v>
      </c>
      <c r="D143" s="204">
        <v>1447</v>
      </c>
      <c r="E143" s="204">
        <v>3558</v>
      </c>
      <c r="F143" s="205">
        <v>1292</v>
      </c>
    </row>
    <row r="144" spans="1:8" ht="14.25" customHeight="1">
      <c r="A144" s="54" t="s">
        <v>50</v>
      </c>
      <c r="B144" s="204">
        <v>36</v>
      </c>
      <c r="C144" s="204">
        <v>1853</v>
      </c>
      <c r="D144" s="204">
        <v>1072</v>
      </c>
      <c r="E144" s="204">
        <v>1492</v>
      </c>
      <c r="F144" s="205">
        <v>891</v>
      </c>
    </row>
    <row r="145" spans="1:8" ht="14.25" customHeight="1">
      <c r="A145" s="54" t="s">
        <v>51</v>
      </c>
      <c r="B145" s="204">
        <v>50</v>
      </c>
      <c r="C145" s="204">
        <v>2273</v>
      </c>
      <c r="D145" s="204">
        <v>936</v>
      </c>
      <c r="E145" s="204">
        <v>2074</v>
      </c>
      <c r="F145" s="205">
        <v>920</v>
      </c>
    </row>
    <row r="146" spans="1:8" ht="14.25" customHeight="1">
      <c r="A146" s="54" t="s">
        <v>52</v>
      </c>
      <c r="B146" s="204">
        <v>21</v>
      </c>
      <c r="C146" s="204">
        <v>1062</v>
      </c>
      <c r="D146" s="204">
        <v>445</v>
      </c>
      <c r="E146" s="204">
        <v>862</v>
      </c>
      <c r="F146" s="205">
        <v>399</v>
      </c>
    </row>
    <row r="147" spans="1:8" ht="14.25" customHeight="1">
      <c r="A147" s="54" t="s">
        <v>53</v>
      </c>
      <c r="B147" s="204">
        <v>32</v>
      </c>
      <c r="C147" s="204">
        <v>1505</v>
      </c>
      <c r="D147" s="204">
        <v>535</v>
      </c>
      <c r="E147" s="204">
        <v>1247</v>
      </c>
      <c r="F147" s="205">
        <v>484</v>
      </c>
    </row>
    <row r="148" spans="1:8" ht="14.25" customHeight="1">
      <c r="A148" s="54" t="s">
        <v>54</v>
      </c>
      <c r="B148" s="204">
        <v>65</v>
      </c>
      <c r="C148" s="204">
        <v>2811</v>
      </c>
      <c r="D148" s="204">
        <v>1254</v>
      </c>
      <c r="E148" s="204">
        <v>2420</v>
      </c>
      <c r="F148" s="205">
        <v>1089</v>
      </c>
    </row>
    <row r="149" spans="1:8" ht="14.25" customHeight="1">
      <c r="A149" s="56" t="s">
        <v>55</v>
      </c>
      <c r="B149" s="170">
        <v>113</v>
      </c>
      <c r="C149" s="170">
        <v>5509</v>
      </c>
      <c r="D149" s="170">
        <v>2883</v>
      </c>
      <c r="E149" s="170">
        <v>4717</v>
      </c>
      <c r="F149" s="171">
        <v>2551</v>
      </c>
      <c r="G149" s="41"/>
    </row>
    <row r="150" spans="1:8" ht="14.25" customHeight="1">
      <c r="A150" s="56" t="s">
        <v>56</v>
      </c>
      <c r="B150" s="170">
        <v>19</v>
      </c>
      <c r="C150" s="170">
        <v>1086</v>
      </c>
      <c r="D150" s="170">
        <v>353</v>
      </c>
      <c r="E150" s="170">
        <v>895</v>
      </c>
      <c r="F150" s="171">
        <v>303</v>
      </c>
      <c r="G150" s="41"/>
    </row>
    <row r="151" spans="1:8" ht="14.25" customHeight="1">
      <c r="A151" s="56" t="s">
        <v>57</v>
      </c>
      <c r="B151" s="170">
        <v>58</v>
      </c>
      <c r="C151" s="170">
        <v>1694</v>
      </c>
      <c r="D151" s="170">
        <v>851</v>
      </c>
      <c r="E151" s="170">
        <v>1503</v>
      </c>
      <c r="F151" s="171">
        <v>794</v>
      </c>
      <c r="G151" s="41"/>
    </row>
    <row r="152" spans="1:8" ht="14.25" customHeight="1">
      <c r="A152" s="56" t="s">
        <v>58</v>
      </c>
      <c r="B152" s="170">
        <v>25</v>
      </c>
      <c r="C152" s="170">
        <v>1120</v>
      </c>
      <c r="D152" s="170">
        <v>645</v>
      </c>
      <c r="E152" s="170">
        <v>995</v>
      </c>
      <c r="F152" s="171">
        <v>586</v>
      </c>
      <c r="G152" s="41"/>
    </row>
    <row r="153" spans="1:8" ht="14.25" customHeight="1">
      <c r="A153" s="56" t="s">
        <v>59</v>
      </c>
      <c r="B153" s="170">
        <v>49</v>
      </c>
      <c r="C153" s="170">
        <v>3082</v>
      </c>
      <c r="D153" s="170">
        <v>1501</v>
      </c>
      <c r="E153" s="170">
        <v>2830</v>
      </c>
      <c r="F153" s="171">
        <v>1420</v>
      </c>
      <c r="G153" s="41"/>
    </row>
    <row r="154" spans="1:8" ht="14.25" customHeight="1">
      <c r="A154" s="56" t="s">
        <v>60</v>
      </c>
      <c r="B154" s="170">
        <v>38</v>
      </c>
      <c r="C154" s="170">
        <v>2201</v>
      </c>
      <c r="D154" s="170">
        <v>1155</v>
      </c>
      <c r="E154" s="170">
        <v>2050</v>
      </c>
      <c r="F154" s="171">
        <v>1041</v>
      </c>
      <c r="G154" s="41"/>
    </row>
    <row r="155" spans="1:8" ht="14.25" customHeight="1">
      <c r="A155" s="56" t="s">
        <v>61</v>
      </c>
      <c r="B155" s="170">
        <v>23</v>
      </c>
      <c r="C155" s="170">
        <v>1265</v>
      </c>
      <c r="D155" s="170">
        <v>212</v>
      </c>
      <c r="E155" s="170">
        <v>1160</v>
      </c>
      <c r="F155" s="171">
        <v>212</v>
      </c>
      <c r="G155" s="41"/>
    </row>
    <row r="156" spans="1:8" ht="14.25" customHeight="1">
      <c r="A156" s="56" t="s">
        <v>62</v>
      </c>
      <c r="B156" s="170">
        <v>22</v>
      </c>
      <c r="C156" s="170">
        <v>973</v>
      </c>
      <c r="D156" s="170">
        <v>463</v>
      </c>
      <c r="E156" s="170">
        <v>816</v>
      </c>
      <c r="F156" s="171">
        <v>423</v>
      </c>
      <c r="G156" s="41"/>
    </row>
    <row r="157" spans="1:8" ht="14.25" customHeight="1">
      <c r="A157" s="56" t="s">
        <v>63</v>
      </c>
      <c r="B157" s="170">
        <v>69</v>
      </c>
      <c r="C157" s="170">
        <v>3848</v>
      </c>
      <c r="D157" s="170">
        <v>1633</v>
      </c>
      <c r="E157" s="170">
        <v>3179</v>
      </c>
      <c r="F157" s="171">
        <v>1458</v>
      </c>
      <c r="G157" s="41"/>
    </row>
    <row r="158" spans="1:8" ht="14.25" customHeight="1">
      <c r="A158" s="56" t="s">
        <v>64</v>
      </c>
      <c r="B158" s="170">
        <v>42</v>
      </c>
      <c r="C158" s="170">
        <v>1979</v>
      </c>
      <c r="D158" s="170">
        <v>914</v>
      </c>
      <c r="E158" s="170">
        <v>1761</v>
      </c>
      <c r="F158" s="171">
        <v>852</v>
      </c>
      <c r="G158" s="41"/>
    </row>
    <row r="159" spans="1:8" ht="40.4" customHeight="1">
      <c r="A159" s="553" t="s">
        <v>196</v>
      </c>
      <c r="B159" s="554"/>
      <c r="C159" s="554"/>
      <c r="D159" s="554"/>
      <c r="E159" s="554"/>
      <c r="F159" s="555"/>
      <c r="H159" s="318"/>
    </row>
    <row r="160" spans="1:8" ht="20.5">
      <c r="A160" s="88" t="s">
        <v>1169</v>
      </c>
      <c r="B160" s="182">
        <v>1874</v>
      </c>
      <c r="C160" s="182">
        <v>72014</v>
      </c>
      <c r="D160" s="182">
        <v>42261</v>
      </c>
      <c r="E160" s="182">
        <v>59689</v>
      </c>
      <c r="F160" s="183">
        <v>37567</v>
      </c>
    </row>
    <row r="161" spans="1:8" ht="14.25" customHeight="1">
      <c r="A161" s="52">
        <v>2024</v>
      </c>
      <c r="B161" s="202">
        <v>1996</v>
      </c>
      <c r="C161" s="202">
        <v>90697</v>
      </c>
      <c r="D161" s="202">
        <v>56137</v>
      </c>
      <c r="E161" s="202">
        <v>77245</v>
      </c>
      <c r="F161" s="203">
        <v>51203</v>
      </c>
    </row>
    <row r="162" spans="1:8" ht="14.25" customHeight="1">
      <c r="A162" s="54" t="s">
        <v>49</v>
      </c>
      <c r="B162" s="204">
        <v>127</v>
      </c>
      <c r="C162" s="204">
        <v>6157</v>
      </c>
      <c r="D162" s="204">
        <v>3994</v>
      </c>
      <c r="E162" s="204">
        <v>5316</v>
      </c>
      <c r="F162" s="205">
        <v>3727</v>
      </c>
    </row>
    <row r="163" spans="1:8" ht="14.25" customHeight="1">
      <c r="A163" s="54" t="s">
        <v>50</v>
      </c>
      <c r="B163" s="204">
        <v>114</v>
      </c>
      <c r="C163" s="204">
        <v>4478</v>
      </c>
      <c r="D163" s="204">
        <v>2919</v>
      </c>
      <c r="E163" s="204">
        <v>3548</v>
      </c>
      <c r="F163" s="205">
        <v>2556</v>
      </c>
    </row>
    <row r="164" spans="1:8" ht="14.25" customHeight="1">
      <c r="A164" s="54" t="s">
        <v>51</v>
      </c>
      <c r="B164" s="204">
        <v>158</v>
      </c>
      <c r="C164" s="204">
        <v>5120</v>
      </c>
      <c r="D164" s="204">
        <v>2665</v>
      </c>
      <c r="E164" s="204">
        <v>4399</v>
      </c>
      <c r="F164" s="205">
        <v>2445</v>
      </c>
    </row>
    <row r="165" spans="1:8" ht="14.25" customHeight="1">
      <c r="A165" s="54" t="s">
        <v>52</v>
      </c>
      <c r="B165" s="204">
        <v>45</v>
      </c>
      <c r="C165" s="204">
        <v>2251</v>
      </c>
      <c r="D165" s="204">
        <v>1364</v>
      </c>
      <c r="E165" s="204">
        <v>1976</v>
      </c>
      <c r="F165" s="205">
        <v>1287</v>
      </c>
    </row>
    <row r="166" spans="1:8" ht="14.25" customHeight="1">
      <c r="A166" s="54" t="s">
        <v>53</v>
      </c>
      <c r="B166" s="204">
        <v>151</v>
      </c>
      <c r="C166" s="204">
        <v>6207</v>
      </c>
      <c r="D166" s="204">
        <v>3899</v>
      </c>
      <c r="E166" s="204">
        <v>4998</v>
      </c>
      <c r="F166" s="205">
        <v>3442</v>
      </c>
    </row>
    <row r="167" spans="1:8" ht="14.25" customHeight="1">
      <c r="A167" s="54" t="s">
        <v>54</v>
      </c>
      <c r="B167" s="204">
        <v>225</v>
      </c>
      <c r="C167" s="204">
        <v>10315</v>
      </c>
      <c r="D167" s="204">
        <v>6509</v>
      </c>
      <c r="E167" s="204">
        <v>9042</v>
      </c>
      <c r="F167" s="205">
        <v>5936</v>
      </c>
    </row>
    <row r="168" spans="1:8" ht="14.25" customHeight="1">
      <c r="A168" s="56" t="s">
        <v>55</v>
      </c>
      <c r="B168" s="170">
        <v>244</v>
      </c>
      <c r="C168" s="170">
        <v>13544</v>
      </c>
      <c r="D168" s="170">
        <v>8482</v>
      </c>
      <c r="E168" s="170">
        <v>11596</v>
      </c>
      <c r="F168" s="171">
        <v>7723</v>
      </c>
      <c r="G168" s="41"/>
      <c r="H168" s="41"/>
    </row>
    <row r="169" spans="1:8" ht="14.25" customHeight="1">
      <c r="A169" s="56" t="s">
        <v>56</v>
      </c>
      <c r="B169" s="170">
        <v>34</v>
      </c>
      <c r="C169" s="170">
        <v>1572</v>
      </c>
      <c r="D169" s="170">
        <v>1051</v>
      </c>
      <c r="E169" s="170">
        <v>1198</v>
      </c>
      <c r="F169" s="171">
        <v>882</v>
      </c>
      <c r="G169" s="41"/>
      <c r="H169" s="41"/>
    </row>
    <row r="170" spans="1:8" ht="14.25" customHeight="1">
      <c r="A170" s="56" t="s">
        <v>57</v>
      </c>
      <c r="B170" s="170">
        <v>181</v>
      </c>
      <c r="C170" s="170">
        <v>6401</v>
      </c>
      <c r="D170" s="170">
        <v>3702</v>
      </c>
      <c r="E170" s="170">
        <v>5345</v>
      </c>
      <c r="F170" s="171">
        <v>3306</v>
      </c>
      <c r="G170" s="41"/>
      <c r="H170" s="41"/>
    </row>
    <row r="171" spans="1:8" ht="14.25" customHeight="1">
      <c r="A171" s="56" t="s">
        <v>58</v>
      </c>
      <c r="B171" s="170">
        <v>57</v>
      </c>
      <c r="C171" s="170">
        <v>2776</v>
      </c>
      <c r="D171" s="170">
        <v>1511</v>
      </c>
      <c r="E171" s="170">
        <v>2360</v>
      </c>
      <c r="F171" s="171">
        <v>1346</v>
      </c>
      <c r="G171" s="41"/>
      <c r="H171" s="41"/>
    </row>
    <row r="172" spans="1:8" ht="14.25" customHeight="1">
      <c r="A172" s="56" t="s">
        <v>59</v>
      </c>
      <c r="B172" s="170">
        <v>109</v>
      </c>
      <c r="C172" s="170">
        <v>5758</v>
      </c>
      <c r="D172" s="170">
        <v>3805</v>
      </c>
      <c r="E172" s="170">
        <v>5110</v>
      </c>
      <c r="F172" s="171">
        <v>3508</v>
      </c>
      <c r="G172" s="41"/>
      <c r="H172" s="41"/>
    </row>
    <row r="173" spans="1:8" ht="14.25" customHeight="1">
      <c r="A173" s="56" t="s">
        <v>60</v>
      </c>
      <c r="B173" s="170">
        <v>176</v>
      </c>
      <c r="C173" s="170">
        <v>10301</v>
      </c>
      <c r="D173" s="170">
        <v>6451</v>
      </c>
      <c r="E173" s="170">
        <v>9061</v>
      </c>
      <c r="F173" s="171">
        <v>6045</v>
      </c>
      <c r="G173" s="41"/>
      <c r="H173" s="41"/>
    </row>
    <row r="174" spans="1:8" ht="14.25" customHeight="1">
      <c r="A174" s="56" t="s">
        <v>61</v>
      </c>
      <c r="B174" s="170">
        <v>53</v>
      </c>
      <c r="C174" s="170">
        <v>1864</v>
      </c>
      <c r="D174" s="170">
        <v>1205</v>
      </c>
      <c r="E174" s="170">
        <v>1554</v>
      </c>
      <c r="F174" s="171">
        <v>1080</v>
      </c>
      <c r="G174" s="41"/>
      <c r="H174" s="41"/>
    </row>
    <row r="175" spans="1:8" ht="14.25" customHeight="1">
      <c r="A175" s="56" t="s">
        <v>62</v>
      </c>
      <c r="B175" s="170">
        <v>63</v>
      </c>
      <c r="C175" s="170">
        <v>2403</v>
      </c>
      <c r="D175" s="170">
        <v>1408</v>
      </c>
      <c r="E175" s="170">
        <v>2093</v>
      </c>
      <c r="F175" s="171">
        <v>1290</v>
      </c>
      <c r="G175" s="41"/>
      <c r="H175" s="41"/>
    </row>
    <row r="176" spans="1:8" ht="14.25" customHeight="1">
      <c r="A176" s="56" t="s">
        <v>63</v>
      </c>
      <c r="B176" s="170">
        <v>167</v>
      </c>
      <c r="C176" s="170">
        <v>7752</v>
      </c>
      <c r="D176" s="170">
        <v>4764</v>
      </c>
      <c r="E176" s="170">
        <v>6421</v>
      </c>
      <c r="F176" s="171">
        <v>4526</v>
      </c>
      <c r="G176" s="41"/>
      <c r="H176" s="41"/>
    </row>
    <row r="177" spans="1:8" ht="14.25" customHeight="1">
      <c r="A177" s="56" t="s">
        <v>64</v>
      </c>
      <c r="B177" s="170">
        <v>92</v>
      </c>
      <c r="C177" s="170">
        <v>3798</v>
      </c>
      <c r="D177" s="170">
        <v>2408</v>
      </c>
      <c r="E177" s="170">
        <v>3228</v>
      </c>
      <c r="F177" s="171">
        <v>2104</v>
      </c>
      <c r="G177" s="41"/>
      <c r="H177" s="41"/>
    </row>
    <row r="178" spans="1:8" ht="40.4" customHeight="1">
      <c r="A178" s="553" t="s">
        <v>23</v>
      </c>
      <c r="B178" s="554"/>
      <c r="C178" s="554"/>
      <c r="D178" s="554"/>
      <c r="E178" s="554"/>
      <c r="F178" s="555"/>
      <c r="H178" s="318"/>
    </row>
    <row r="179" spans="1:8" ht="20.5">
      <c r="A179" s="88" t="s">
        <v>1168</v>
      </c>
      <c r="B179" s="182">
        <v>698</v>
      </c>
      <c r="C179" s="182">
        <v>57242</v>
      </c>
      <c r="D179" s="182">
        <v>27408</v>
      </c>
      <c r="E179" s="182">
        <v>53884</v>
      </c>
      <c r="F179" s="183">
        <v>26007</v>
      </c>
    </row>
    <row r="180" spans="1:8" ht="14.25" customHeight="1">
      <c r="A180" s="52">
        <v>2024</v>
      </c>
      <c r="B180" s="202">
        <v>788</v>
      </c>
      <c r="C180" s="202">
        <v>70952</v>
      </c>
      <c r="D180" s="202">
        <v>33561</v>
      </c>
      <c r="E180" s="202">
        <v>66488</v>
      </c>
      <c r="F180" s="203">
        <v>31677</v>
      </c>
    </row>
    <row r="181" spans="1:8" ht="14.25" customHeight="1">
      <c r="A181" s="54" t="s">
        <v>49</v>
      </c>
      <c r="B181" s="204">
        <v>69</v>
      </c>
      <c r="C181" s="204">
        <v>6599</v>
      </c>
      <c r="D181" s="204">
        <v>3150</v>
      </c>
      <c r="E181" s="204">
        <v>5908</v>
      </c>
      <c r="F181" s="205">
        <v>2811</v>
      </c>
    </row>
    <row r="182" spans="1:8" ht="14.25" customHeight="1">
      <c r="A182" s="54" t="s">
        <v>50</v>
      </c>
      <c r="B182" s="204">
        <v>43</v>
      </c>
      <c r="C182" s="204">
        <v>3465</v>
      </c>
      <c r="D182" s="204">
        <v>1612</v>
      </c>
      <c r="E182" s="204">
        <v>3094</v>
      </c>
      <c r="F182" s="205">
        <v>1481</v>
      </c>
    </row>
    <row r="183" spans="1:8" ht="14.25" customHeight="1">
      <c r="A183" s="54" t="s">
        <v>51</v>
      </c>
      <c r="B183" s="204">
        <v>55</v>
      </c>
      <c r="C183" s="204">
        <v>3265</v>
      </c>
      <c r="D183" s="204">
        <v>1578</v>
      </c>
      <c r="E183" s="204">
        <v>3105</v>
      </c>
      <c r="F183" s="205">
        <v>1523</v>
      </c>
    </row>
    <row r="184" spans="1:8" ht="14.25" customHeight="1">
      <c r="A184" s="54" t="s">
        <v>52</v>
      </c>
      <c r="B184" s="204">
        <v>16</v>
      </c>
      <c r="C184" s="204">
        <v>810</v>
      </c>
      <c r="D184" s="204">
        <v>362</v>
      </c>
      <c r="E184" s="204">
        <v>741</v>
      </c>
      <c r="F184" s="205">
        <v>327</v>
      </c>
    </row>
    <row r="185" spans="1:8" ht="14.25" customHeight="1">
      <c r="A185" s="54" t="s">
        <v>53</v>
      </c>
      <c r="B185" s="204">
        <v>49</v>
      </c>
      <c r="C185" s="204">
        <v>4027</v>
      </c>
      <c r="D185" s="204">
        <v>1970</v>
      </c>
      <c r="E185" s="204">
        <v>3718</v>
      </c>
      <c r="F185" s="205">
        <v>1845</v>
      </c>
      <c r="G185" s="41"/>
      <c r="H185" s="41"/>
    </row>
    <row r="186" spans="1:8" ht="14.25" customHeight="1">
      <c r="A186" s="54" t="s">
        <v>54</v>
      </c>
      <c r="B186" s="204">
        <v>66</v>
      </c>
      <c r="C186" s="204">
        <v>6272</v>
      </c>
      <c r="D186" s="204">
        <v>2892</v>
      </c>
      <c r="E186" s="204">
        <v>6077</v>
      </c>
      <c r="F186" s="205">
        <v>2814</v>
      </c>
      <c r="G186" s="41"/>
      <c r="H186" s="41"/>
    </row>
    <row r="187" spans="1:8" ht="14.25" customHeight="1">
      <c r="A187" s="56" t="s">
        <v>55</v>
      </c>
      <c r="B187" s="170">
        <v>121</v>
      </c>
      <c r="C187" s="170">
        <v>12527</v>
      </c>
      <c r="D187" s="170">
        <v>5834</v>
      </c>
      <c r="E187" s="170">
        <v>11528</v>
      </c>
      <c r="F187" s="171">
        <v>5410</v>
      </c>
      <c r="G187" s="41"/>
      <c r="H187" s="41"/>
    </row>
    <row r="188" spans="1:8" ht="14.25" customHeight="1">
      <c r="A188" s="56" t="s">
        <v>56</v>
      </c>
      <c r="B188" s="170">
        <v>16</v>
      </c>
      <c r="C188" s="170">
        <v>661</v>
      </c>
      <c r="D188" s="170">
        <v>339</v>
      </c>
      <c r="E188" s="170">
        <v>557</v>
      </c>
      <c r="F188" s="171">
        <v>295</v>
      </c>
      <c r="G188" s="41"/>
      <c r="H188" s="41"/>
    </row>
    <row r="189" spans="1:8" ht="14.25" customHeight="1">
      <c r="A189" s="56" t="s">
        <v>57</v>
      </c>
      <c r="B189" s="170">
        <v>58</v>
      </c>
      <c r="C189" s="170">
        <v>5478</v>
      </c>
      <c r="D189" s="170">
        <v>2723</v>
      </c>
      <c r="E189" s="170">
        <v>5252</v>
      </c>
      <c r="F189" s="171">
        <v>2641</v>
      </c>
      <c r="G189" s="41"/>
      <c r="H189" s="41"/>
    </row>
    <row r="190" spans="1:8" ht="14.25" customHeight="1">
      <c r="A190" s="56" t="s">
        <v>58</v>
      </c>
      <c r="B190" s="170">
        <v>17</v>
      </c>
      <c r="C190" s="170">
        <v>1227</v>
      </c>
      <c r="D190" s="170">
        <v>631</v>
      </c>
      <c r="E190" s="170">
        <v>1120</v>
      </c>
      <c r="F190" s="171">
        <v>579</v>
      </c>
      <c r="G190" s="41"/>
      <c r="H190" s="41"/>
    </row>
    <row r="191" spans="1:8" ht="14.25" customHeight="1">
      <c r="A191" s="56" t="s">
        <v>59</v>
      </c>
      <c r="B191" s="170">
        <v>40</v>
      </c>
      <c r="C191" s="170">
        <v>3292</v>
      </c>
      <c r="D191" s="170">
        <v>1559</v>
      </c>
      <c r="E191" s="170">
        <v>3072</v>
      </c>
      <c r="F191" s="171">
        <v>1456</v>
      </c>
      <c r="G191" s="41"/>
      <c r="H191" s="41"/>
    </row>
    <row r="192" spans="1:8" ht="14.25" customHeight="1">
      <c r="A192" s="56" t="s">
        <v>60</v>
      </c>
      <c r="B192" s="170">
        <v>90</v>
      </c>
      <c r="C192" s="170">
        <v>9653</v>
      </c>
      <c r="D192" s="170">
        <v>4653</v>
      </c>
      <c r="E192" s="170">
        <v>9327</v>
      </c>
      <c r="F192" s="171">
        <v>4499</v>
      </c>
      <c r="G192" s="41"/>
      <c r="H192" s="41"/>
    </row>
    <row r="193" spans="1:8" ht="14.25" customHeight="1">
      <c r="A193" s="56" t="s">
        <v>61</v>
      </c>
      <c r="B193" s="170">
        <v>22</v>
      </c>
      <c r="C193" s="170">
        <v>1903</v>
      </c>
      <c r="D193" s="170">
        <v>944</v>
      </c>
      <c r="E193" s="170">
        <v>1873</v>
      </c>
      <c r="F193" s="171">
        <v>928</v>
      </c>
      <c r="G193" s="41"/>
      <c r="H193" s="41"/>
    </row>
    <row r="194" spans="1:8" ht="14.25" customHeight="1">
      <c r="A194" s="56" t="s">
        <v>62</v>
      </c>
      <c r="B194" s="170">
        <v>25</v>
      </c>
      <c r="C194" s="170">
        <v>1391</v>
      </c>
      <c r="D194" s="170">
        <v>646</v>
      </c>
      <c r="E194" s="170">
        <v>1132</v>
      </c>
      <c r="F194" s="171">
        <v>541</v>
      </c>
      <c r="G194" s="41"/>
      <c r="H194" s="41"/>
    </row>
    <row r="195" spans="1:8" ht="14.25" customHeight="1">
      <c r="A195" s="56" t="s">
        <v>63</v>
      </c>
      <c r="B195" s="170">
        <v>59</v>
      </c>
      <c r="C195" s="170">
        <v>5750</v>
      </c>
      <c r="D195" s="170">
        <v>2631</v>
      </c>
      <c r="E195" s="170">
        <v>5618</v>
      </c>
      <c r="F195" s="171">
        <v>2579</v>
      </c>
      <c r="G195" s="41"/>
      <c r="H195" s="41"/>
    </row>
    <row r="196" spans="1:8" ht="14.25" customHeight="1">
      <c r="A196" s="56" t="s">
        <v>64</v>
      </c>
      <c r="B196" s="170">
        <v>42</v>
      </c>
      <c r="C196" s="170">
        <v>4632</v>
      </c>
      <c r="D196" s="170">
        <v>2037</v>
      </c>
      <c r="E196" s="170">
        <v>4366</v>
      </c>
      <c r="F196" s="171">
        <v>1948</v>
      </c>
      <c r="G196" s="41"/>
      <c r="H196" s="41"/>
    </row>
    <row r="197" spans="1:8" ht="40.4" customHeight="1">
      <c r="A197" s="553" t="s">
        <v>24</v>
      </c>
      <c r="B197" s="554"/>
      <c r="C197" s="554"/>
      <c r="D197" s="554"/>
      <c r="E197" s="554"/>
      <c r="F197" s="555"/>
      <c r="H197" s="318"/>
    </row>
    <row r="198" spans="1:8" ht="20.5">
      <c r="A198" s="88" t="s">
        <v>1168</v>
      </c>
      <c r="B198" s="182">
        <v>465</v>
      </c>
      <c r="C198" s="182">
        <v>87637</v>
      </c>
      <c r="D198" s="182">
        <v>8347</v>
      </c>
      <c r="E198" s="182">
        <v>3263</v>
      </c>
      <c r="F198" s="183">
        <v>1251</v>
      </c>
    </row>
    <row r="199" spans="1:8" ht="14.25" customHeight="1">
      <c r="A199" s="52">
        <v>2024</v>
      </c>
      <c r="B199" s="202">
        <v>605</v>
      </c>
      <c r="C199" s="202">
        <v>122887</v>
      </c>
      <c r="D199" s="202">
        <v>12575</v>
      </c>
      <c r="E199" s="202">
        <v>5133</v>
      </c>
      <c r="F199" s="203">
        <v>1604</v>
      </c>
    </row>
    <row r="200" spans="1:8" ht="14.25" customHeight="1">
      <c r="A200" s="54" t="s">
        <v>49</v>
      </c>
      <c r="B200" s="204">
        <v>66</v>
      </c>
      <c r="C200" s="204">
        <v>14743</v>
      </c>
      <c r="D200" s="204">
        <v>1439</v>
      </c>
      <c r="E200" s="204">
        <v>350</v>
      </c>
      <c r="F200" s="205">
        <v>114</v>
      </c>
    </row>
    <row r="201" spans="1:8" ht="14.25" customHeight="1">
      <c r="A201" s="54" t="s">
        <v>50</v>
      </c>
      <c r="B201" s="204">
        <v>25</v>
      </c>
      <c r="C201" s="204">
        <v>3570</v>
      </c>
      <c r="D201" s="204">
        <v>441</v>
      </c>
      <c r="E201" s="204">
        <v>164</v>
      </c>
      <c r="F201" s="205">
        <v>59</v>
      </c>
    </row>
    <row r="202" spans="1:8" ht="14.25" customHeight="1">
      <c r="A202" s="54" t="s">
        <v>51</v>
      </c>
      <c r="B202" s="204">
        <v>39</v>
      </c>
      <c r="C202" s="204">
        <v>7474</v>
      </c>
      <c r="D202" s="204">
        <v>641</v>
      </c>
      <c r="E202" s="204">
        <v>202</v>
      </c>
      <c r="F202" s="205">
        <v>54</v>
      </c>
    </row>
    <row r="203" spans="1:8" ht="14.25" customHeight="1">
      <c r="A203" s="54" t="s">
        <v>52</v>
      </c>
      <c r="B203" s="204">
        <v>14</v>
      </c>
      <c r="C203" s="204">
        <v>3186</v>
      </c>
      <c r="D203" s="204">
        <v>377</v>
      </c>
      <c r="E203" s="204">
        <v>150</v>
      </c>
      <c r="F203" s="205">
        <v>69</v>
      </c>
    </row>
    <row r="204" spans="1:8" ht="14.25" customHeight="1">
      <c r="A204" s="54" t="s">
        <v>53</v>
      </c>
      <c r="B204" s="204">
        <v>61</v>
      </c>
      <c r="C204" s="204">
        <v>5822</v>
      </c>
      <c r="D204" s="204">
        <v>704</v>
      </c>
      <c r="E204" s="204">
        <v>463</v>
      </c>
      <c r="F204" s="205">
        <v>215</v>
      </c>
      <c r="G204" s="41"/>
      <c r="H204" s="41"/>
    </row>
    <row r="205" spans="1:8" ht="14.25" customHeight="1">
      <c r="A205" s="54" t="s">
        <v>54</v>
      </c>
      <c r="B205" s="204">
        <v>33</v>
      </c>
      <c r="C205" s="204">
        <v>5787</v>
      </c>
      <c r="D205" s="204">
        <v>478</v>
      </c>
      <c r="E205" s="204">
        <v>193</v>
      </c>
      <c r="F205" s="205">
        <v>81</v>
      </c>
      <c r="G205" s="41"/>
      <c r="H205" s="41"/>
    </row>
    <row r="206" spans="1:8" ht="14.25" customHeight="1">
      <c r="A206" s="56" t="s">
        <v>55</v>
      </c>
      <c r="B206" s="170">
        <v>66</v>
      </c>
      <c r="C206" s="170">
        <v>35503</v>
      </c>
      <c r="D206" s="170">
        <v>3612</v>
      </c>
      <c r="E206" s="170">
        <v>777</v>
      </c>
      <c r="F206" s="171">
        <v>207</v>
      </c>
      <c r="G206" s="41"/>
      <c r="H206" s="41"/>
    </row>
    <row r="207" spans="1:8" ht="14.25" customHeight="1">
      <c r="A207" s="56" t="s">
        <v>56</v>
      </c>
      <c r="B207" s="170">
        <v>18</v>
      </c>
      <c r="C207" s="170">
        <v>1761</v>
      </c>
      <c r="D207" s="170">
        <v>130</v>
      </c>
      <c r="E207" s="205" t="s">
        <v>1074</v>
      </c>
      <c r="F207" s="205" t="s">
        <v>1074</v>
      </c>
      <c r="G207" s="41"/>
      <c r="H207" s="41"/>
    </row>
    <row r="208" spans="1:8" ht="14.25" customHeight="1">
      <c r="A208" s="56" t="s">
        <v>57</v>
      </c>
      <c r="B208" s="170">
        <v>23</v>
      </c>
      <c r="C208" s="170">
        <v>691</v>
      </c>
      <c r="D208" s="170">
        <v>111</v>
      </c>
      <c r="E208" s="170">
        <v>101</v>
      </c>
      <c r="F208" s="171">
        <v>40</v>
      </c>
      <c r="G208" s="41"/>
      <c r="H208" s="41"/>
    </row>
    <row r="209" spans="1:8" ht="14.25" customHeight="1">
      <c r="A209" s="56" t="s">
        <v>58</v>
      </c>
      <c r="B209" s="170">
        <v>34</v>
      </c>
      <c r="C209" s="170">
        <v>13812</v>
      </c>
      <c r="D209" s="170">
        <v>1062</v>
      </c>
      <c r="E209" s="170">
        <v>782</v>
      </c>
      <c r="F209" s="171">
        <v>159</v>
      </c>
      <c r="G209" s="41"/>
      <c r="H209" s="41"/>
    </row>
    <row r="210" spans="1:8" ht="14.25" customHeight="1">
      <c r="A210" s="56" t="s">
        <v>59</v>
      </c>
      <c r="B210" s="170">
        <v>43</v>
      </c>
      <c r="C210" s="170">
        <v>6839</v>
      </c>
      <c r="D210" s="170">
        <v>579</v>
      </c>
      <c r="E210" s="170">
        <v>382</v>
      </c>
      <c r="F210" s="171">
        <v>108</v>
      </c>
      <c r="G210" s="41"/>
      <c r="H210" s="41"/>
    </row>
    <row r="211" spans="1:8" ht="14.25" customHeight="1">
      <c r="A211" s="56" t="s">
        <v>60</v>
      </c>
      <c r="B211" s="170">
        <v>32</v>
      </c>
      <c r="C211" s="170">
        <v>3461</v>
      </c>
      <c r="D211" s="170">
        <v>367</v>
      </c>
      <c r="E211" s="170">
        <v>120</v>
      </c>
      <c r="F211" s="171">
        <v>50</v>
      </c>
      <c r="G211" s="41"/>
      <c r="H211" s="41"/>
    </row>
    <row r="212" spans="1:8" ht="14.25" customHeight="1">
      <c r="A212" s="56" t="s">
        <v>61</v>
      </c>
      <c r="B212" s="170">
        <v>14</v>
      </c>
      <c r="C212" s="170">
        <v>841</v>
      </c>
      <c r="D212" s="170">
        <v>123</v>
      </c>
      <c r="E212" s="170">
        <v>139</v>
      </c>
      <c r="F212" s="171">
        <v>32</v>
      </c>
      <c r="G212" s="41"/>
      <c r="H212" s="41"/>
    </row>
    <row r="213" spans="1:8" ht="14.25" customHeight="1">
      <c r="A213" s="56" t="s">
        <v>62</v>
      </c>
      <c r="B213" s="170">
        <v>49</v>
      </c>
      <c r="C213" s="170">
        <v>3636</v>
      </c>
      <c r="D213" s="170">
        <v>442</v>
      </c>
      <c r="E213" s="170">
        <v>660</v>
      </c>
      <c r="F213" s="171">
        <v>119</v>
      </c>
      <c r="G213" s="41"/>
      <c r="H213" s="41"/>
    </row>
    <row r="214" spans="1:8" ht="14.25" customHeight="1">
      <c r="A214" s="56" t="s">
        <v>63</v>
      </c>
      <c r="B214" s="170">
        <v>60</v>
      </c>
      <c r="C214" s="170">
        <v>13215</v>
      </c>
      <c r="D214" s="170">
        <v>1801</v>
      </c>
      <c r="E214" s="170">
        <v>489</v>
      </c>
      <c r="F214" s="171">
        <v>230</v>
      </c>
      <c r="G214" s="41"/>
      <c r="H214" s="41"/>
    </row>
    <row r="215" spans="1:8" ht="14.25" customHeight="1">
      <c r="A215" s="56" t="s">
        <v>64</v>
      </c>
      <c r="B215" s="170">
        <v>28</v>
      </c>
      <c r="C215" s="170">
        <v>2546</v>
      </c>
      <c r="D215" s="170">
        <v>268</v>
      </c>
      <c r="E215" s="170">
        <v>161</v>
      </c>
      <c r="F215" s="171">
        <v>67</v>
      </c>
      <c r="G215" s="41"/>
      <c r="H215" s="41"/>
    </row>
    <row r="216" spans="1:8" ht="40.4" customHeight="1">
      <c r="A216" s="553" t="s">
        <v>171</v>
      </c>
      <c r="B216" s="554"/>
      <c r="C216" s="554"/>
      <c r="D216" s="554"/>
      <c r="E216" s="554"/>
      <c r="F216" s="555"/>
      <c r="H216" s="318"/>
    </row>
    <row r="217" spans="1:8" ht="20.5">
      <c r="A217" s="88" t="s">
        <v>1168</v>
      </c>
      <c r="B217" s="182">
        <v>444</v>
      </c>
      <c r="C217" s="182">
        <v>19683</v>
      </c>
      <c r="D217" s="182">
        <v>4972</v>
      </c>
      <c r="E217" s="182">
        <v>14158</v>
      </c>
      <c r="F217" s="183">
        <v>3924</v>
      </c>
    </row>
    <row r="218" spans="1:8" ht="14.25" customHeight="1">
      <c r="A218" s="52">
        <v>2024</v>
      </c>
      <c r="B218" s="202">
        <v>542</v>
      </c>
      <c r="C218" s="202">
        <v>22911</v>
      </c>
      <c r="D218" s="202">
        <v>5416</v>
      </c>
      <c r="E218" s="202">
        <v>15815</v>
      </c>
      <c r="F218" s="203">
        <v>3888</v>
      </c>
    </row>
    <row r="219" spans="1:8" ht="14.25" customHeight="1">
      <c r="A219" s="54" t="s">
        <v>49</v>
      </c>
      <c r="B219" s="204">
        <v>39</v>
      </c>
      <c r="C219" s="204">
        <v>2727</v>
      </c>
      <c r="D219" s="204">
        <v>638</v>
      </c>
      <c r="E219" s="204">
        <v>1503</v>
      </c>
      <c r="F219" s="205">
        <v>382</v>
      </c>
    </row>
    <row r="220" spans="1:8" ht="14.25" customHeight="1">
      <c r="A220" s="54" t="s">
        <v>50</v>
      </c>
      <c r="B220" s="204">
        <v>30</v>
      </c>
      <c r="C220" s="204">
        <v>1219</v>
      </c>
      <c r="D220" s="204">
        <v>202</v>
      </c>
      <c r="E220" s="204">
        <v>812</v>
      </c>
      <c r="F220" s="205">
        <v>138</v>
      </c>
    </row>
    <row r="221" spans="1:8" ht="14.25" customHeight="1">
      <c r="A221" s="54" t="s">
        <v>51</v>
      </c>
      <c r="B221" s="204">
        <v>30</v>
      </c>
      <c r="C221" s="204">
        <v>885</v>
      </c>
      <c r="D221" s="204">
        <v>257</v>
      </c>
      <c r="E221" s="204">
        <v>576</v>
      </c>
      <c r="F221" s="205">
        <v>199</v>
      </c>
    </row>
    <row r="222" spans="1:8" ht="14.25" customHeight="1">
      <c r="A222" s="54" t="s">
        <v>52</v>
      </c>
      <c r="B222" s="204">
        <v>14</v>
      </c>
      <c r="C222" s="204">
        <v>602</v>
      </c>
      <c r="D222" s="204">
        <v>152</v>
      </c>
      <c r="E222" s="204">
        <v>428</v>
      </c>
      <c r="F222" s="205">
        <v>110</v>
      </c>
    </row>
    <row r="223" spans="1:8" ht="14.25" customHeight="1">
      <c r="A223" s="54" t="s">
        <v>53</v>
      </c>
      <c r="B223" s="204">
        <v>28</v>
      </c>
      <c r="C223" s="204">
        <v>749</v>
      </c>
      <c r="D223" s="204">
        <v>133</v>
      </c>
      <c r="E223" s="204">
        <v>602</v>
      </c>
      <c r="F223" s="205">
        <v>108</v>
      </c>
    </row>
    <row r="224" spans="1:8" ht="14.25" customHeight="1">
      <c r="A224" s="54" t="s">
        <v>54</v>
      </c>
      <c r="B224" s="204">
        <v>42</v>
      </c>
      <c r="C224" s="204">
        <v>1719</v>
      </c>
      <c r="D224" s="204">
        <v>473</v>
      </c>
      <c r="E224" s="204">
        <v>1476</v>
      </c>
      <c r="F224" s="205">
        <v>414</v>
      </c>
    </row>
    <row r="225" spans="1:8" ht="14.25" customHeight="1">
      <c r="A225" s="56" t="s">
        <v>55</v>
      </c>
      <c r="B225" s="170">
        <v>47</v>
      </c>
      <c r="C225" s="170">
        <v>1876</v>
      </c>
      <c r="D225" s="170">
        <v>368</v>
      </c>
      <c r="E225" s="170">
        <v>1347</v>
      </c>
      <c r="F225" s="171">
        <v>244</v>
      </c>
    </row>
    <row r="226" spans="1:8" ht="14.25" customHeight="1">
      <c r="A226" s="56" t="s">
        <v>56</v>
      </c>
      <c r="B226" s="170">
        <v>12</v>
      </c>
      <c r="C226" s="170">
        <v>219</v>
      </c>
      <c r="D226" s="170">
        <v>62</v>
      </c>
      <c r="E226" s="170">
        <v>102</v>
      </c>
      <c r="F226" s="171">
        <v>31</v>
      </c>
      <c r="G226" s="41"/>
      <c r="H226" s="41"/>
    </row>
    <row r="227" spans="1:8" ht="14.25" customHeight="1">
      <c r="A227" s="56" t="s">
        <v>57</v>
      </c>
      <c r="B227" s="170">
        <v>60</v>
      </c>
      <c r="C227" s="170">
        <v>2044</v>
      </c>
      <c r="D227" s="170">
        <v>534</v>
      </c>
      <c r="E227" s="170">
        <v>1353</v>
      </c>
      <c r="F227" s="171">
        <v>395</v>
      </c>
      <c r="G227" s="41"/>
      <c r="H227" s="41"/>
    </row>
    <row r="228" spans="1:8" ht="14.25" customHeight="1">
      <c r="A228" s="56" t="s">
        <v>58</v>
      </c>
      <c r="B228" s="170">
        <v>15</v>
      </c>
      <c r="C228" s="170">
        <v>729</v>
      </c>
      <c r="D228" s="170">
        <v>219</v>
      </c>
      <c r="E228" s="170">
        <v>553</v>
      </c>
      <c r="F228" s="171">
        <v>163</v>
      </c>
      <c r="G228" s="41"/>
      <c r="H228" s="41"/>
    </row>
    <row r="229" spans="1:8" ht="14.25" customHeight="1">
      <c r="A229" s="56" t="s">
        <v>59</v>
      </c>
      <c r="B229" s="170">
        <v>38</v>
      </c>
      <c r="C229" s="170">
        <v>1480</v>
      </c>
      <c r="D229" s="170">
        <v>239</v>
      </c>
      <c r="E229" s="170">
        <v>1140</v>
      </c>
      <c r="F229" s="171">
        <v>201</v>
      </c>
      <c r="G229" s="41"/>
      <c r="H229" s="41"/>
    </row>
    <row r="230" spans="1:8" ht="14.25" customHeight="1">
      <c r="A230" s="56" t="s">
        <v>60</v>
      </c>
      <c r="B230" s="170">
        <v>60</v>
      </c>
      <c r="C230" s="170">
        <v>3190</v>
      </c>
      <c r="D230" s="170">
        <v>928</v>
      </c>
      <c r="E230" s="170">
        <v>2303</v>
      </c>
      <c r="F230" s="171">
        <v>642</v>
      </c>
      <c r="G230" s="41"/>
      <c r="H230" s="41"/>
    </row>
    <row r="231" spans="1:8" ht="14.25" customHeight="1">
      <c r="A231" s="56" t="s">
        <v>61</v>
      </c>
      <c r="B231" s="170">
        <v>18</v>
      </c>
      <c r="C231" s="170">
        <v>809</v>
      </c>
      <c r="D231" s="170">
        <v>201</v>
      </c>
      <c r="E231" s="170">
        <v>592</v>
      </c>
      <c r="F231" s="171">
        <v>148</v>
      </c>
      <c r="G231" s="41"/>
      <c r="H231" s="41"/>
    </row>
    <row r="232" spans="1:8" ht="14.25" customHeight="1">
      <c r="A232" s="56" t="s">
        <v>62</v>
      </c>
      <c r="B232" s="170">
        <v>21</v>
      </c>
      <c r="C232" s="170">
        <v>774</v>
      </c>
      <c r="D232" s="170">
        <v>169</v>
      </c>
      <c r="E232" s="170">
        <v>543</v>
      </c>
      <c r="F232" s="171">
        <v>111</v>
      </c>
      <c r="G232" s="41"/>
      <c r="H232" s="41"/>
    </row>
    <row r="233" spans="1:8" ht="14.25" customHeight="1">
      <c r="A233" s="56" t="s">
        <v>63</v>
      </c>
      <c r="B233" s="170">
        <v>58</v>
      </c>
      <c r="C233" s="170">
        <v>2748</v>
      </c>
      <c r="D233" s="170">
        <v>616</v>
      </c>
      <c r="E233" s="170">
        <v>1738</v>
      </c>
      <c r="F233" s="171">
        <v>437</v>
      </c>
      <c r="G233" s="41"/>
      <c r="H233" s="41"/>
    </row>
    <row r="234" spans="1:8" ht="14.25" customHeight="1">
      <c r="A234" s="56" t="s">
        <v>64</v>
      </c>
      <c r="B234" s="170">
        <v>30</v>
      </c>
      <c r="C234" s="170">
        <v>1141</v>
      </c>
      <c r="D234" s="170">
        <v>225</v>
      </c>
      <c r="E234" s="170">
        <v>747</v>
      </c>
      <c r="F234" s="171">
        <v>165</v>
      </c>
      <c r="G234" s="41"/>
      <c r="H234" s="41"/>
    </row>
    <row r="235" spans="1:8" ht="40.4" customHeight="1">
      <c r="A235" s="553" t="s">
        <v>173</v>
      </c>
      <c r="B235" s="554"/>
      <c r="C235" s="554"/>
      <c r="D235" s="554"/>
      <c r="E235" s="554"/>
      <c r="F235" s="555"/>
      <c r="H235" s="318"/>
    </row>
    <row r="236" spans="1:8" ht="20.149999999999999" customHeight="1">
      <c r="A236" s="88" t="s">
        <v>1168</v>
      </c>
      <c r="B236" s="182">
        <v>364</v>
      </c>
      <c r="C236" s="182">
        <v>20309</v>
      </c>
      <c r="D236" s="182">
        <v>7759</v>
      </c>
      <c r="E236" s="182">
        <v>13184</v>
      </c>
      <c r="F236" s="183">
        <v>5742</v>
      </c>
    </row>
    <row r="237" spans="1:8" ht="20.149999999999999" customHeight="1">
      <c r="A237" s="52">
        <v>2024</v>
      </c>
      <c r="B237" s="202">
        <v>409</v>
      </c>
      <c r="C237" s="202">
        <v>27182</v>
      </c>
      <c r="D237" s="202">
        <v>10776</v>
      </c>
      <c r="E237" s="202">
        <v>15797</v>
      </c>
      <c r="F237" s="203">
        <v>7194</v>
      </c>
    </row>
    <row r="238" spans="1:8" ht="14.25" customHeight="1">
      <c r="A238" s="54" t="s">
        <v>49</v>
      </c>
      <c r="B238" s="204">
        <v>45</v>
      </c>
      <c r="C238" s="204">
        <v>2880</v>
      </c>
      <c r="D238" s="204">
        <v>1034</v>
      </c>
      <c r="E238" s="204">
        <v>1236</v>
      </c>
      <c r="F238" s="205">
        <v>579</v>
      </c>
    </row>
    <row r="239" spans="1:8" ht="14.25" customHeight="1">
      <c r="A239" s="54" t="s">
        <v>50</v>
      </c>
      <c r="B239" s="204">
        <v>26</v>
      </c>
      <c r="C239" s="204">
        <v>1309</v>
      </c>
      <c r="D239" s="204">
        <v>483</v>
      </c>
      <c r="E239" s="204">
        <v>894</v>
      </c>
      <c r="F239" s="205">
        <v>385</v>
      </c>
    </row>
    <row r="240" spans="1:8" ht="14.25" customHeight="1">
      <c r="A240" s="54" t="s">
        <v>51</v>
      </c>
      <c r="B240" s="204">
        <v>23</v>
      </c>
      <c r="C240" s="204">
        <v>1119</v>
      </c>
      <c r="D240" s="204">
        <v>512</v>
      </c>
      <c r="E240" s="204">
        <v>873</v>
      </c>
      <c r="F240" s="205">
        <v>415</v>
      </c>
    </row>
    <row r="241" spans="1:8" ht="14.25" customHeight="1">
      <c r="A241" s="54" t="s">
        <v>52</v>
      </c>
      <c r="B241" s="204">
        <v>13</v>
      </c>
      <c r="C241" s="204">
        <v>648</v>
      </c>
      <c r="D241" s="204">
        <v>275</v>
      </c>
      <c r="E241" s="204">
        <v>476</v>
      </c>
      <c r="F241" s="205">
        <v>225</v>
      </c>
      <c r="G241" s="41"/>
      <c r="H241" s="41"/>
    </row>
    <row r="242" spans="1:8" ht="14.25" customHeight="1">
      <c r="A242" s="54" t="s">
        <v>53</v>
      </c>
      <c r="B242" s="204">
        <v>26</v>
      </c>
      <c r="C242" s="204">
        <v>988</v>
      </c>
      <c r="D242" s="204">
        <v>429</v>
      </c>
      <c r="E242" s="204">
        <v>727</v>
      </c>
      <c r="F242" s="205">
        <v>341</v>
      </c>
      <c r="G242" s="41"/>
      <c r="H242" s="41"/>
    </row>
    <row r="243" spans="1:8" ht="14.25" customHeight="1">
      <c r="A243" s="54" t="s">
        <v>54</v>
      </c>
      <c r="B243" s="204">
        <v>45</v>
      </c>
      <c r="C243" s="204">
        <v>2812</v>
      </c>
      <c r="D243" s="204">
        <v>1366</v>
      </c>
      <c r="E243" s="204">
        <v>1783</v>
      </c>
      <c r="F243" s="205">
        <v>910</v>
      </c>
      <c r="G243" s="41"/>
      <c r="H243" s="41"/>
    </row>
    <row r="244" spans="1:8" ht="14.25" customHeight="1">
      <c r="A244" s="56" t="s">
        <v>55</v>
      </c>
      <c r="B244" s="170">
        <v>47</v>
      </c>
      <c r="C244" s="170">
        <v>6517</v>
      </c>
      <c r="D244" s="170">
        <v>2237</v>
      </c>
      <c r="E244" s="170">
        <v>2999</v>
      </c>
      <c r="F244" s="171">
        <v>1231</v>
      </c>
      <c r="G244" s="41"/>
      <c r="H244" s="41"/>
    </row>
    <row r="245" spans="1:8" ht="14.25" customHeight="1">
      <c r="A245" s="56" t="s">
        <v>56</v>
      </c>
      <c r="B245" s="170">
        <v>11</v>
      </c>
      <c r="C245" s="170">
        <v>421</v>
      </c>
      <c r="D245" s="170">
        <v>146</v>
      </c>
      <c r="E245" s="170">
        <v>159</v>
      </c>
      <c r="F245" s="171">
        <v>72</v>
      </c>
      <c r="G245" s="41"/>
      <c r="H245" s="41"/>
    </row>
    <row r="246" spans="1:8" ht="14.25" customHeight="1">
      <c r="A246" s="56" t="s">
        <v>57</v>
      </c>
      <c r="B246" s="170">
        <v>21</v>
      </c>
      <c r="C246" s="170">
        <v>944</v>
      </c>
      <c r="D246" s="170">
        <v>385</v>
      </c>
      <c r="E246" s="170">
        <v>695</v>
      </c>
      <c r="F246" s="171">
        <v>330</v>
      </c>
      <c r="G246" s="41"/>
      <c r="H246" s="41"/>
    </row>
    <row r="247" spans="1:8" ht="14.25" customHeight="1">
      <c r="A247" s="56" t="s">
        <v>58</v>
      </c>
      <c r="B247" s="170">
        <v>8</v>
      </c>
      <c r="C247" s="170">
        <v>322</v>
      </c>
      <c r="D247" s="170">
        <v>124</v>
      </c>
      <c r="E247" s="170">
        <v>206</v>
      </c>
      <c r="F247" s="171">
        <v>100</v>
      </c>
      <c r="G247" s="41"/>
      <c r="H247" s="41"/>
    </row>
    <row r="248" spans="1:8" ht="14.25" customHeight="1">
      <c r="A248" s="56" t="s">
        <v>59</v>
      </c>
      <c r="B248" s="170">
        <v>19</v>
      </c>
      <c r="C248" s="170">
        <v>2034</v>
      </c>
      <c r="D248" s="170">
        <v>803</v>
      </c>
      <c r="E248" s="170">
        <v>711</v>
      </c>
      <c r="F248" s="171">
        <v>308</v>
      </c>
      <c r="G248" s="41"/>
      <c r="H248" s="41"/>
    </row>
    <row r="249" spans="1:8" ht="14.25" customHeight="1">
      <c r="A249" s="56" t="s">
        <v>60</v>
      </c>
      <c r="B249" s="170">
        <v>35</v>
      </c>
      <c r="C249" s="170">
        <v>1993</v>
      </c>
      <c r="D249" s="170">
        <v>924</v>
      </c>
      <c r="E249" s="170">
        <v>1749</v>
      </c>
      <c r="F249" s="171">
        <v>839</v>
      </c>
      <c r="G249" s="41"/>
      <c r="H249" s="41"/>
    </row>
    <row r="250" spans="1:8" ht="14.25" customHeight="1">
      <c r="A250" s="56" t="s">
        <v>61</v>
      </c>
      <c r="B250" s="170">
        <v>16</v>
      </c>
      <c r="C250" s="170">
        <v>552</v>
      </c>
      <c r="D250" s="170">
        <v>195</v>
      </c>
      <c r="E250" s="170">
        <v>346</v>
      </c>
      <c r="F250" s="171">
        <v>147</v>
      </c>
      <c r="G250" s="41"/>
      <c r="H250" s="41"/>
    </row>
    <row r="251" spans="1:8" ht="14.25" customHeight="1">
      <c r="A251" s="56" t="s">
        <v>62</v>
      </c>
      <c r="B251" s="170">
        <v>12</v>
      </c>
      <c r="C251" s="170">
        <v>605</v>
      </c>
      <c r="D251" s="170">
        <v>173</v>
      </c>
      <c r="E251" s="170">
        <v>537</v>
      </c>
      <c r="F251" s="171">
        <v>154</v>
      </c>
      <c r="G251" s="41"/>
      <c r="H251" s="41"/>
    </row>
    <row r="252" spans="1:8" ht="14.25" customHeight="1">
      <c r="A252" s="56" t="s">
        <v>63</v>
      </c>
      <c r="B252" s="170">
        <v>39</v>
      </c>
      <c r="C252" s="170">
        <v>2635</v>
      </c>
      <c r="D252" s="170">
        <v>1171</v>
      </c>
      <c r="E252" s="170">
        <v>1579</v>
      </c>
      <c r="F252" s="171">
        <v>795</v>
      </c>
      <c r="G252" s="41"/>
      <c r="H252" s="41"/>
    </row>
    <row r="253" spans="1:8" ht="14.25" customHeight="1">
      <c r="A253" s="56" t="s">
        <v>64</v>
      </c>
      <c r="B253" s="170">
        <v>23</v>
      </c>
      <c r="C253" s="170">
        <v>1403</v>
      </c>
      <c r="D253" s="170">
        <v>519</v>
      </c>
      <c r="E253" s="170">
        <v>827</v>
      </c>
      <c r="F253" s="171">
        <v>363</v>
      </c>
      <c r="G253" s="41"/>
      <c r="H253" s="41"/>
    </row>
    <row r="254" spans="1:8" ht="40.4" customHeight="1">
      <c r="A254" s="553" t="s">
        <v>25</v>
      </c>
      <c r="B254" s="554"/>
      <c r="C254" s="554"/>
      <c r="D254" s="554"/>
      <c r="E254" s="554"/>
      <c r="F254" s="555"/>
      <c r="H254" s="318"/>
    </row>
    <row r="255" spans="1:8" ht="20.5">
      <c r="A255" s="88" t="s">
        <v>1168</v>
      </c>
      <c r="B255" s="182">
        <v>958</v>
      </c>
      <c r="C255" s="182">
        <v>23804</v>
      </c>
      <c r="D255" s="182">
        <v>6899</v>
      </c>
      <c r="E255" s="182">
        <v>15984</v>
      </c>
      <c r="F255" s="183">
        <v>5749</v>
      </c>
    </row>
    <row r="256" spans="1:8" ht="14.25" customHeight="1">
      <c r="A256" s="52">
        <v>2024</v>
      </c>
      <c r="B256" s="202">
        <v>1037</v>
      </c>
      <c r="C256" s="202">
        <v>27881</v>
      </c>
      <c r="D256" s="202">
        <v>7408</v>
      </c>
      <c r="E256" s="202">
        <v>18193</v>
      </c>
      <c r="F256" s="203">
        <v>5940</v>
      </c>
    </row>
    <row r="257" spans="1:7" ht="14.25" customHeight="1">
      <c r="A257" s="54" t="s">
        <v>49</v>
      </c>
      <c r="B257" s="204">
        <v>62</v>
      </c>
      <c r="C257" s="204">
        <v>2115</v>
      </c>
      <c r="D257" s="204">
        <v>408</v>
      </c>
      <c r="E257" s="204">
        <v>1184</v>
      </c>
      <c r="F257" s="205">
        <v>312</v>
      </c>
    </row>
    <row r="258" spans="1:7" ht="14.25" customHeight="1">
      <c r="A258" s="54" t="s">
        <v>50</v>
      </c>
      <c r="B258" s="204">
        <v>64</v>
      </c>
      <c r="C258" s="204">
        <v>2076</v>
      </c>
      <c r="D258" s="204">
        <v>479</v>
      </c>
      <c r="E258" s="204">
        <v>1210</v>
      </c>
      <c r="F258" s="205">
        <v>367</v>
      </c>
    </row>
    <row r="259" spans="1:7" ht="14.25" customHeight="1">
      <c r="A259" s="54" t="s">
        <v>51</v>
      </c>
      <c r="B259" s="204">
        <v>78</v>
      </c>
      <c r="C259" s="204">
        <v>1655</v>
      </c>
      <c r="D259" s="204">
        <v>419</v>
      </c>
      <c r="E259" s="204">
        <v>1169</v>
      </c>
      <c r="F259" s="205">
        <v>341</v>
      </c>
    </row>
    <row r="260" spans="1:7" ht="14.25" customHeight="1">
      <c r="A260" s="54" t="s">
        <v>52</v>
      </c>
      <c r="B260" s="204">
        <v>34</v>
      </c>
      <c r="C260" s="204">
        <v>895</v>
      </c>
      <c r="D260" s="204">
        <v>198</v>
      </c>
      <c r="E260" s="204">
        <v>542</v>
      </c>
      <c r="F260" s="205">
        <v>163</v>
      </c>
    </row>
    <row r="261" spans="1:7" ht="14.25" customHeight="1">
      <c r="A261" s="54" t="s">
        <v>53</v>
      </c>
      <c r="B261" s="204">
        <v>62</v>
      </c>
      <c r="C261" s="204">
        <v>1552</v>
      </c>
      <c r="D261" s="204">
        <v>411</v>
      </c>
      <c r="E261" s="204">
        <v>1129</v>
      </c>
      <c r="F261" s="205">
        <v>343</v>
      </c>
      <c r="G261" s="41"/>
    </row>
    <row r="262" spans="1:7" ht="14.25" customHeight="1">
      <c r="A262" s="54" t="s">
        <v>54</v>
      </c>
      <c r="B262" s="204">
        <v>108</v>
      </c>
      <c r="C262" s="204">
        <v>3117</v>
      </c>
      <c r="D262" s="204">
        <v>852</v>
      </c>
      <c r="E262" s="204">
        <v>2145</v>
      </c>
      <c r="F262" s="205">
        <v>723</v>
      </c>
      <c r="G262" s="41"/>
    </row>
    <row r="263" spans="1:7" ht="14.25" customHeight="1">
      <c r="A263" s="56" t="s">
        <v>55</v>
      </c>
      <c r="B263" s="170">
        <v>111</v>
      </c>
      <c r="C263" s="170">
        <v>3241</v>
      </c>
      <c r="D263" s="170">
        <v>772</v>
      </c>
      <c r="E263" s="170">
        <v>2232</v>
      </c>
      <c r="F263" s="171">
        <v>627</v>
      </c>
      <c r="G263" s="41"/>
    </row>
    <row r="264" spans="1:7" ht="14.25" customHeight="1">
      <c r="A264" s="56" t="s">
        <v>56</v>
      </c>
      <c r="B264" s="170">
        <v>21</v>
      </c>
      <c r="C264" s="170">
        <v>446</v>
      </c>
      <c r="D264" s="170">
        <v>95</v>
      </c>
      <c r="E264" s="170">
        <v>257</v>
      </c>
      <c r="F264" s="171">
        <v>68</v>
      </c>
      <c r="G264" s="41"/>
    </row>
    <row r="265" spans="1:7" ht="14.25" customHeight="1">
      <c r="A265" s="56" t="s">
        <v>57</v>
      </c>
      <c r="B265" s="170">
        <v>96</v>
      </c>
      <c r="C265" s="170">
        <v>1924</v>
      </c>
      <c r="D265" s="170">
        <v>567</v>
      </c>
      <c r="E265" s="170">
        <v>1297</v>
      </c>
      <c r="F265" s="171">
        <v>504</v>
      </c>
      <c r="G265" s="41"/>
    </row>
    <row r="266" spans="1:7" ht="14.25" customHeight="1">
      <c r="A266" s="56" t="s">
        <v>58</v>
      </c>
      <c r="B266" s="170">
        <v>27</v>
      </c>
      <c r="C266" s="170">
        <v>976</v>
      </c>
      <c r="D266" s="170">
        <v>294</v>
      </c>
      <c r="E266" s="170">
        <v>563</v>
      </c>
      <c r="F266" s="171">
        <v>202</v>
      </c>
      <c r="G266" s="41"/>
    </row>
    <row r="267" spans="1:7" ht="14.25" customHeight="1">
      <c r="A267" s="56" t="s">
        <v>59</v>
      </c>
      <c r="B267" s="170">
        <v>67</v>
      </c>
      <c r="C267" s="170">
        <v>1536</v>
      </c>
      <c r="D267" s="170">
        <v>433</v>
      </c>
      <c r="E267" s="170">
        <v>1052</v>
      </c>
      <c r="F267" s="171">
        <v>369</v>
      </c>
      <c r="G267" s="41"/>
    </row>
    <row r="268" spans="1:7" ht="14.25" customHeight="1">
      <c r="A268" s="56" t="s">
        <v>60</v>
      </c>
      <c r="B268" s="170">
        <v>83</v>
      </c>
      <c r="C268" s="170">
        <v>2868</v>
      </c>
      <c r="D268" s="170">
        <v>773</v>
      </c>
      <c r="E268" s="170">
        <v>1913</v>
      </c>
      <c r="F268" s="171">
        <v>603</v>
      </c>
      <c r="G268" s="41"/>
    </row>
    <row r="269" spans="1:7" ht="14.25" customHeight="1">
      <c r="A269" s="56" t="s">
        <v>61</v>
      </c>
      <c r="B269" s="170">
        <v>31</v>
      </c>
      <c r="C269" s="170">
        <v>671</v>
      </c>
      <c r="D269" s="170">
        <v>242</v>
      </c>
      <c r="E269" s="170">
        <v>469</v>
      </c>
      <c r="F269" s="171">
        <v>193</v>
      </c>
      <c r="G269" s="41"/>
    </row>
    <row r="270" spans="1:7" ht="14.25" customHeight="1">
      <c r="A270" s="56" t="s">
        <v>62</v>
      </c>
      <c r="B270" s="170">
        <v>34</v>
      </c>
      <c r="C270" s="170">
        <v>780</v>
      </c>
      <c r="D270" s="170">
        <v>282</v>
      </c>
      <c r="E270" s="170">
        <v>546</v>
      </c>
      <c r="F270" s="171">
        <v>232</v>
      </c>
      <c r="G270" s="41"/>
    </row>
    <row r="271" spans="1:7" ht="14.25" customHeight="1">
      <c r="A271" s="56" t="s">
        <v>63</v>
      </c>
      <c r="B271" s="170">
        <v>112</v>
      </c>
      <c r="C271" s="170">
        <v>2970</v>
      </c>
      <c r="D271" s="170">
        <v>860</v>
      </c>
      <c r="E271" s="170">
        <v>1782</v>
      </c>
      <c r="F271" s="171">
        <v>644</v>
      </c>
      <c r="G271" s="41"/>
    </row>
    <row r="272" spans="1:7" ht="14.25" customHeight="1">
      <c r="A272" s="56" t="s">
        <v>64</v>
      </c>
      <c r="B272" s="170">
        <v>47</v>
      </c>
      <c r="C272" s="170">
        <v>1059</v>
      </c>
      <c r="D272" s="170">
        <v>323</v>
      </c>
      <c r="E272" s="170">
        <v>703</v>
      </c>
      <c r="F272" s="171">
        <v>249</v>
      </c>
      <c r="G272" s="41"/>
    </row>
    <row r="273" spans="1:8" ht="40.4" customHeight="1">
      <c r="A273" s="553" t="s">
        <v>197</v>
      </c>
      <c r="B273" s="554"/>
      <c r="C273" s="554"/>
      <c r="D273" s="554"/>
      <c r="E273" s="554"/>
      <c r="F273" s="555"/>
      <c r="H273" s="318"/>
    </row>
    <row r="274" spans="1:8" ht="20.149999999999999" customHeight="1">
      <c r="A274" s="88" t="s">
        <v>1168</v>
      </c>
      <c r="B274" s="182">
        <v>277</v>
      </c>
      <c r="C274" s="182">
        <v>9313</v>
      </c>
      <c r="D274" s="182">
        <v>3112</v>
      </c>
      <c r="E274" s="182">
        <v>5271</v>
      </c>
      <c r="F274" s="183">
        <v>2174</v>
      </c>
    </row>
    <row r="275" spans="1:8" ht="14.25" customHeight="1">
      <c r="A275" s="52">
        <v>2024</v>
      </c>
      <c r="B275" s="202">
        <v>302</v>
      </c>
      <c r="C275" s="202">
        <v>10272</v>
      </c>
      <c r="D275" s="202">
        <v>3473</v>
      </c>
      <c r="E275" s="202">
        <v>5342</v>
      </c>
      <c r="F275" s="203">
        <v>2136</v>
      </c>
    </row>
    <row r="276" spans="1:8" ht="14.25" customHeight="1">
      <c r="A276" s="54" t="s">
        <v>49</v>
      </c>
      <c r="B276" s="204">
        <v>17</v>
      </c>
      <c r="C276" s="204">
        <v>377</v>
      </c>
      <c r="D276" s="204">
        <v>127</v>
      </c>
      <c r="E276" s="204">
        <v>207</v>
      </c>
      <c r="F276" s="205">
        <v>75</v>
      </c>
    </row>
    <row r="277" spans="1:8" ht="14.25" customHeight="1">
      <c r="A277" s="54" t="s">
        <v>50</v>
      </c>
      <c r="B277" s="204">
        <v>23</v>
      </c>
      <c r="C277" s="204">
        <v>659</v>
      </c>
      <c r="D277" s="204">
        <v>155</v>
      </c>
      <c r="E277" s="204">
        <v>210</v>
      </c>
      <c r="F277" s="205">
        <v>76</v>
      </c>
    </row>
    <row r="278" spans="1:8" ht="14.25" customHeight="1">
      <c r="A278" s="54" t="s">
        <v>51</v>
      </c>
      <c r="B278" s="204">
        <v>8</v>
      </c>
      <c r="C278" s="204">
        <v>216</v>
      </c>
      <c r="D278" s="204">
        <v>75</v>
      </c>
      <c r="E278" s="204">
        <v>79</v>
      </c>
      <c r="F278" s="205">
        <v>23</v>
      </c>
    </row>
    <row r="279" spans="1:8" ht="14.25" customHeight="1">
      <c r="A279" s="54" t="s">
        <v>52</v>
      </c>
      <c r="B279" s="204">
        <v>5</v>
      </c>
      <c r="C279" s="204">
        <v>154</v>
      </c>
      <c r="D279" s="204">
        <v>48</v>
      </c>
      <c r="E279" s="204">
        <v>142</v>
      </c>
      <c r="F279" s="205">
        <v>42</v>
      </c>
      <c r="G279" s="41"/>
      <c r="H279" s="41"/>
    </row>
    <row r="280" spans="1:8" ht="14.25" customHeight="1">
      <c r="A280" s="54" t="s">
        <v>53</v>
      </c>
      <c r="B280" s="204">
        <v>2</v>
      </c>
      <c r="C280" s="204">
        <v>29</v>
      </c>
      <c r="D280" s="204">
        <v>12</v>
      </c>
      <c r="E280" s="204">
        <v>4</v>
      </c>
      <c r="F280" s="205">
        <v>2</v>
      </c>
      <c r="G280" s="41"/>
      <c r="H280" s="41"/>
    </row>
    <row r="281" spans="1:8" ht="14.25" customHeight="1">
      <c r="A281" s="54" t="s">
        <v>54</v>
      </c>
      <c r="B281" s="204">
        <v>9</v>
      </c>
      <c r="C281" s="204">
        <v>406</v>
      </c>
      <c r="D281" s="204">
        <v>147</v>
      </c>
      <c r="E281" s="204">
        <v>328</v>
      </c>
      <c r="F281" s="205">
        <v>125</v>
      </c>
      <c r="G281" s="41"/>
      <c r="H281" s="41"/>
    </row>
    <row r="282" spans="1:8" ht="14.25" customHeight="1">
      <c r="A282" s="56" t="s">
        <v>55</v>
      </c>
      <c r="B282" s="170">
        <v>35</v>
      </c>
      <c r="C282" s="170">
        <v>1055</v>
      </c>
      <c r="D282" s="170">
        <v>266</v>
      </c>
      <c r="E282" s="170">
        <v>637</v>
      </c>
      <c r="F282" s="171">
        <v>181</v>
      </c>
      <c r="G282" s="41"/>
      <c r="H282" s="41"/>
    </row>
    <row r="283" spans="1:8" ht="14.25" customHeight="1">
      <c r="A283" s="56" t="s">
        <v>56</v>
      </c>
      <c r="B283" s="170">
        <v>7</v>
      </c>
      <c r="C283" s="170">
        <v>106</v>
      </c>
      <c r="D283" s="170">
        <v>35</v>
      </c>
      <c r="E283" s="170">
        <v>47</v>
      </c>
      <c r="F283" s="171">
        <v>16</v>
      </c>
      <c r="G283" s="41"/>
      <c r="H283" s="41"/>
    </row>
    <row r="284" spans="1:8" ht="14.25" customHeight="1">
      <c r="A284" s="56" t="s">
        <v>57</v>
      </c>
      <c r="B284" s="170">
        <v>5</v>
      </c>
      <c r="C284" s="170">
        <v>100</v>
      </c>
      <c r="D284" s="170">
        <v>19</v>
      </c>
      <c r="E284" s="170">
        <v>20</v>
      </c>
      <c r="F284" s="171">
        <v>10</v>
      </c>
      <c r="G284" s="41"/>
      <c r="H284" s="41"/>
    </row>
    <row r="285" spans="1:8" ht="14.25" customHeight="1">
      <c r="A285" s="56" t="s">
        <v>58</v>
      </c>
      <c r="B285" s="170">
        <v>22</v>
      </c>
      <c r="C285" s="170">
        <v>619</v>
      </c>
      <c r="D285" s="170">
        <v>228</v>
      </c>
      <c r="E285" s="170">
        <v>260</v>
      </c>
      <c r="F285" s="171">
        <v>118</v>
      </c>
      <c r="G285" s="41"/>
      <c r="H285" s="41"/>
    </row>
    <row r="286" spans="1:8" ht="14.25" customHeight="1">
      <c r="A286" s="56" t="s">
        <v>59</v>
      </c>
      <c r="B286" s="170">
        <v>44</v>
      </c>
      <c r="C286" s="170">
        <v>2663</v>
      </c>
      <c r="D286" s="170">
        <v>1004</v>
      </c>
      <c r="E286" s="170">
        <v>1422</v>
      </c>
      <c r="F286" s="171">
        <v>619</v>
      </c>
      <c r="G286" s="41"/>
      <c r="H286" s="41"/>
    </row>
    <row r="287" spans="1:8" ht="14.25" customHeight="1">
      <c r="A287" s="56" t="s">
        <v>60</v>
      </c>
      <c r="B287" s="170">
        <v>32</v>
      </c>
      <c r="C287" s="170">
        <v>997</v>
      </c>
      <c r="D287" s="170">
        <v>334</v>
      </c>
      <c r="E287" s="170">
        <v>427</v>
      </c>
      <c r="F287" s="171">
        <v>187</v>
      </c>
      <c r="G287" s="41"/>
      <c r="H287" s="41"/>
    </row>
    <row r="288" spans="1:8" ht="14.25" customHeight="1">
      <c r="A288" s="56" t="s">
        <v>61</v>
      </c>
      <c r="B288" s="170">
        <v>1</v>
      </c>
      <c r="C288" s="170">
        <v>23</v>
      </c>
      <c r="D288" s="170">
        <v>9</v>
      </c>
      <c r="E288" s="170">
        <v>22</v>
      </c>
      <c r="F288" s="171">
        <v>8</v>
      </c>
      <c r="G288" s="41"/>
      <c r="H288" s="41"/>
    </row>
    <row r="289" spans="1:8" ht="14.25" customHeight="1">
      <c r="A289" s="56" t="s">
        <v>62</v>
      </c>
      <c r="B289" s="170">
        <v>23</v>
      </c>
      <c r="C289" s="170">
        <v>538</v>
      </c>
      <c r="D289" s="170">
        <v>221</v>
      </c>
      <c r="E289" s="170">
        <v>327</v>
      </c>
      <c r="F289" s="171">
        <v>153</v>
      </c>
      <c r="G289" s="41"/>
      <c r="H289" s="41"/>
    </row>
    <row r="290" spans="1:8" ht="14.25" customHeight="1">
      <c r="A290" s="56" t="s">
        <v>63</v>
      </c>
      <c r="B290" s="170">
        <v>38</v>
      </c>
      <c r="C290" s="170">
        <v>1632</v>
      </c>
      <c r="D290" s="170">
        <v>552</v>
      </c>
      <c r="E290" s="170">
        <v>749</v>
      </c>
      <c r="F290" s="171">
        <v>313</v>
      </c>
      <c r="G290" s="41"/>
      <c r="H290" s="41"/>
    </row>
    <row r="291" spans="1:8" ht="14.25" customHeight="1">
      <c r="A291" s="56" t="s">
        <v>64</v>
      </c>
      <c r="B291" s="170">
        <v>31</v>
      </c>
      <c r="C291" s="170">
        <v>698</v>
      </c>
      <c r="D291" s="170">
        <v>241</v>
      </c>
      <c r="E291" s="170">
        <v>461</v>
      </c>
      <c r="F291" s="171">
        <v>188</v>
      </c>
      <c r="G291" s="41"/>
      <c r="H291" s="41"/>
    </row>
    <row r="292" spans="1:8">
      <c r="A292" s="55"/>
      <c r="B292" s="55"/>
      <c r="C292" s="55"/>
      <c r="D292" s="55"/>
      <c r="E292" s="55"/>
      <c r="F292" s="55"/>
      <c r="G292" s="41"/>
      <c r="H292" s="41"/>
    </row>
    <row r="293" spans="1:8" s="57" customFormat="1" ht="24" customHeight="1">
      <c r="A293" s="562" t="s">
        <v>198</v>
      </c>
      <c r="B293" s="562"/>
      <c r="C293" s="562"/>
      <c r="D293" s="562"/>
      <c r="E293" s="562"/>
      <c r="F293" s="562"/>
      <c r="G293" s="89"/>
    </row>
    <row r="294" spans="1:8" ht="24" customHeight="1">
      <c r="A294" s="561" t="s">
        <v>1076</v>
      </c>
      <c r="B294" s="561"/>
      <c r="C294" s="561"/>
      <c r="D294" s="561"/>
      <c r="E294" s="561"/>
      <c r="F294" s="561"/>
      <c r="G294" s="90"/>
    </row>
  </sheetData>
  <mergeCells count="26">
    <mergeCell ref="A235:F235"/>
    <mergeCell ref="A254:F254"/>
    <mergeCell ref="A273:F273"/>
    <mergeCell ref="A293:F293"/>
    <mergeCell ref="A294:F294"/>
    <mergeCell ref="A216:F216"/>
    <mergeCell ref="A7:F7"/>
    <mergeCell ref="A26:F26"/>
    <mergeCell ref="A45:F45"/>
    <mergeCell ref="A64:F64"/>
    <mergeCell ref="A83:F83"/>
    <mergeCell ref="A102:F102"/>
    <mergeCell ref="A121:F121"/>
    <mergeCell ref="A140:F140"/>
    <mergeCell ref="A159:F159"/>
    <mergeCell ref="A178:F178"/>
    <mergeCell ref="A197:F197"/>
    <mergeCell ref="A1:F1"/>
    <mergeCell ref="A2:F2"/>
    <mergeCell ref="E3:F3"/>
    <mergeCell ref="A4:A6"/>
    <mergeCell ref="B4:B6"/>
    <mergeCell ref="C4:F4"/>
    <mergeCell ref="C5:C6"/>
    <mergeCell ref="D5:D6"/>
    <mergeCell ref="E5:F5"/>
  </mergeCells>
  <hyperlinks>
    <hyperlink ref="E3" location="'Spis tablic'!A4" display="Powrót do spisu treści" xr:uid="{00000000-0004-0000-0B00-000000000000}"/>
    <hyperlink ref="E3:F3" location="'Spis tablic  List of tables'!A25" display="'Spis tablic  List of tables'!A25" xr:uid="{00000000-0004-0000-0B00-000001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H66"/>
  <sheetViews>
    <sheetView zoomScaleNormal="100" workbookViewId="0">
      <pane ySplit="6" topLeftCell="A7" activePane="bottomLeft" state="frozen"/>
      <selection activeCell="F16" sqref="F16"/>
      <selection pane="bottomLeft" activeCell="E3" sqref="E3:F3"/>
    </sheetView>
  </sheetViews>
  <sheetFormatPr defaultColWidth="9.1796875" defaultRowHeight="10"/>
  <cols>
    <col min="1" max="1" width="25.1796875" style="41" customWidth="1"/>
    <col min="2" max="6" width="13.453125" style="41" customWidth="1"/>
    <col min="7" max="16384" width="9.1796875" style="41"/>
  </cols>
  <sheetData>
    <row r="1" spans="1:8" s="39" customFormat="1" ht="33" customHeight="1">
      <c r="A1" s="545" t="s">
        <v>1170</v>
      </c>
      <c r="B1" s="545"/>
      <c r="C1" s="545"/>
      <c r="D1" s="545"/>
      <c r="E1" s="545"/>
      <c r="F1" s="545"/>
    </row>
    <row r="2" spans="1:8" s="39" customFormat="1" ht="27.65" customHeight="1">
      <c r="A2" s="563" t="s">
        <v>1171</v>
      </c>
      <c r="B2" s="563"/>
      <c r="C2" s="563"/>
      <c r="D2" s="563"/>
      <c r="E2" s="563"/>
      <c r="F2" s="563"/>
    </row>
    <row r="3" spans="1:8" s="39" customFormat="1" ht="29.5" customHeight="1">
      <c r="A3" s="74"/>
      <c r="B3" s="74"/>
      <c r="C3" s="74"/>
      <c r="D3" s="74"/>
      <c r="E3" s="537" t="s">
        <v>5</v>
      </c>
      <c r="F3" s="547"/>
    </row>
    <row r="4" spans="1:8" ht="27.75" customHeight="1">
      <c r="A4" s="548" t="s">
        <v>6</v>
      </c>
      <c r="B4" s="539" t="s">
        <v>35</v>
      </c>
      <c r="C4" s="543" t="s">
        <v>69</v>
      </c>
      <c r="D4" s="544"/>
      <c r="E4" s="544"/>
      <c r="F4" s="544"/>
    </row>
    <row r="5" spans="1:8" ht="27" customHeight="1">
      <c r="A5" s="549"/>
      <c r="B5" s="551"/>
      <c r="C5" s="539" t="s">
        <v>80</v>
      </c>
      <c r="D5" s="539" t="s">
        <v>37</v>
      </c>
      <c r="E5" s="544" t="s">
        <v>81</v>
      </c>
      <c r="F5" s="544"/>
    </row>
    <row r="6" spans="1:8" s="75" customFormat="1" ht="42.75" customHeight="1">
      <c r="A6" s="550"/>
      <c r="B6" s="540"/>
      <c r="C6" s="540"/>
      <c r="D6" s="540"/>
      <c r="E6" s="44" t="s">
        <v>39</v>
      </c>
      <c r="F6" s="45" t="s">
        <v>72</v>
      </c>
      <c r="H6" s="91"/>
    </row>
    <row r="7" spans="1:8" ht="40.4" customHeight="1">
      <c r="A7" s="538" t="s">
        <v>48</v>
      </c>
      <c r="B7" s="538"/>
      <c r="C7" s="538"/>
      <c r="D7" s="538"/>
      <c r="E7" s="538"/>
      <c r="F7" s="538"/>
      <c r="G7" s="66"/>
      <c r="H7" s="66"/>
    </row>
    <row r="8" spans="1:8" s="50" customFormat="1" ht="22.4" customHeight="1">
      <c r="A8" s="248" t="s">
        <v>1172</v>
      </c>
      <c r="B8" s="182">
        <v>684</v>
      </c>
      <c r="C8" s="182">
        <v>21833</v>
      </c>
      <c r="D8" s="182">
        <v>9587</v>
      </c>
      <c r="E8" s="182">
        <v>6909</v>
      </c>
      <c r="F8" s="183">
        <v>3172</v>
      </c>
    </row>
    <row r="9" spans="1:8" s="50" customFormat="1" ht="22.4" customHeight="1">
      <c r="A9" s="52">
        <v>2024</v>
      </c>
      <c r="B9" s="202">
        <v>739</v>
      </c>
      <c r="C9" s="202">
        <v>28358</v>
      </c>
      <c r="D9" s="202">
        <v>13422</v>
      </c>
      <c r="E9" s="202">
        <v>9060</v>
      </c>
      <c r="F9" s="203">
        <v>4555</v>
      </c>
    </row>
    <row r="10" spans="1:8" s="50" customFormat="1" ht="22.4" customHeight="1">
      <c r="A10" s="78" t="s">
        <v>1077</v>
      </c>
      <c r="B10" s="202"/>
      <c r="C10" s="202"/>
      <c r="D10" s="202"/>
      <c r="E10" s="202"/>
      <c r="F10" s="299"/>
    </row>
    <row r="11" spans="1:8" ht="24" customHeight="1">
      <c r="A11" s="47" t="s">
        <v>82</v>
      </c>
      <c r="B11" s="204">
        <v>7</v>
      </c>
      <c r="C11" s="204">
        <v>483</v>
      </c>
      <c r="D11" s="204">
        <v>376</v>
      </c>
      <c r="E11" s="204">
        <v>450</v>
      </c>
      <c r="F11" s="205">
        <v>354</v>
      </c>
    </row>
    <row r="12" spans="1:8" ht="24" customHeight="1">
      <c r="A12" s="47" t="s">
        <v>83</v>
      </c>
      <c r="B12" s="204">
        <v>16</v>
      </c>
      <c r="C12" s="204">
        <v>520</v>
      </c>
      <c r="D12" s="204">
        <v>222</v>
      </c>
      <c r="E12" s="204">
        <v>3</v>
      </c>
      <c r="F12" s="205">
        <v>1</v>
      </c>
    </row>
    <row r="13" spans="1:8" ht="24" customHeight="1">
      <c r="A13" s="47" t="s">
        <v>84</v>
      </c>
      <c r="B13" s="204">
        <v>26</v>
      </c>
      <c r="C13" s="204">
        <v>585</v>
      </c>
      <c r="D13" s="204">
        <v>295</v>
      </c>
      <c r="E13" s="204">
        <v>59</v>
      </c>
      <c r="F13" s="205">
        <v>32</v>
      </c>
    </row>
    <row r="14" spans="1:8" ht="24" customHeight="1">
      <c r="A14" s="47" t="s">
        <v>93</v>
      </c>
      <c r="B14" s="170">
        <v>5</v>
      </c>
      <c r="C14" s="170">
        <v>82</v>
      </c>
      <c r="D14" s="170">
        <v>26</v>
      </c>
      <c r="E14" s="171">
        <v>13</v>
      </c>
      <c r="F14" s="171">
        <v>3</v>
      </c>
    </row>
    <row r="15" spans="1:8" ht="24" customHeight="1">
      <c r="A15" s="47" t="s">
        <v>94</v>
      </c>
      <c r="B15" s="170">
        <v>6</v>
      </c>
      <c r="C15" s="170">
        <v>197</v>
      </c>
      <c r="D15" s="170">
        <v>81</v>
      </c>
      <c r="E15" s="170">
        <v>64</v>
      </c>
      <c r="F15" s="171">
        <v>29</v>
      </c>
    </row>
    <row r="16" spans="1:8" ht="24" customHeight="1">
      <c r="A16" s="47" t="s">
        <v>97</v>
      </c>
      <c r="B16" s="170">
        <v>1</v>
      </c>
      <c r="C16" s="170">
        <v>55</v>
      </c>
      <c r="D16" s="204" t="s">
        <v>1074</v>
      </c>
      <c r="E16" s="171">
        <v>9</v>
      </c>
      <c r="F16" s="205" t="s">
        <v>1074</v>
      </c>
    </row>
    <row r="17" spans="1:6" ht="24" customHeight="1">
      <c r="A17" s="47" t="s">
        <v>98</v>
      </c>
      <c r="B17" s="170">
        <v>7</v>
      </c>
      <c r="C17" s="170">
        <v>417</v>
      </c>
      <c r="D17" s="170">
        <v>237</v>
      </c>
      <c r="E17" s="170">
        <v>336</v>
      </c>
      <c r="F17" s="171">
        <v>190</v>
      </c>
    </row>
    <row r="18" spans="1:6" ht="24" customHeight="1">
      <c r="A18" s="47" t="s">
        <v>104</v>
      </c>
      <c r="B18" s="170">
        <v>7</v>
      </c>
      <c r="C18" s="170">
        <v>63</v>
      </c>
      <c r="D18" s="170">
        <v>60</v>
      </c>
      <c r="E18" s="170">
        <v>16</v>
      </c>
      <c r="F18" s="171">
        <v>15</v>
      </c>
    </row>
    <row r="19" spans="1:6" ht="24" customHeight="1">
      <c r="A19" s="47" t="s">
        <v>16</v>
      </c>
      <c r="B19" s="170">
        <v>28</v>
      </c>
      <c r="C19" s="170">
        <v>1184</v>
      </c>
      <c r="D19" s="170">
        <v>383</v>
      </c>
      <c r="E19" s="170">
        <v>670</v>
      </c>
      <c r="F19" s="171">
        <v>223</v>
      </c>
    </row>
    <row r="20" spans="1:6" ht="24" customHeight="1">
      <c r="A20" s="83" t="s">
        <v>945</v>
      </c>
      <c r="B20" s="170">
        <v>4</v>
      </c>
      <c r="C20" s="170">
        <v>205</v>
      </c>
      <c r="D20" s="170">
        <v>82</v>
      </c>
      <c r="E20" s="170">
        <v>170</v>
      </c>
      <c r="F20" s="171">
        <v>67</v>
      </c>
    </row>
    <row r="21" spans="1:6" ht="24" customHeight="1">
      <c r="A21" s="47" t="s">
        <v>199</v>
      </c>
      <c r="B21" s="170">
        <v>9</v>
      </c>
      <c r="C21" s="170">
        <v>97</v>
      </c>
      <c r="D21" s="170">
        <v>32</v>
      </c>
      <c r="E21" s="170">
        <v>26</v>
      </c>
      <c r="F21" s="171">
        <v>6</v>
      </c>
    </row>
    <row r="22" spans="1:6" ht="24" customHeight="1">
      <c r="A22" s="83" t="s">
        <v>200</v>
      </c>
      <c r="B22" s="170">
        <v>10</v>
      </c>
      <c r="C22" s="170">
        <v>81</v>
      </c>
      <c r="D22" s="170">
        <v>26</v>
      </c>
      <c r="E22" s="170">
        <v>10</v>
      </c>
      <c r="F22" s="171">
        <v>5</v>
      </c>
    </row>
    <row r="23" spans="1:6" ht="24" customHeight="1">
      <c r="A23" s="47" t="s">
        <v>18</v>
      </c>
      <c r="B23" s="170">
        <v>60</v>
      </c>
      <c r="C23" s="170">
        <v>2695</v>
      </c>
      <c r="D23" s="170">
        <v>1234</v>
      </c>
      <c r="E23" s="170">
        <v>1458</v>
      </c>
      <c r="F23" s="171">
        <v>769</v>
      </c>
    </row>
    <row r="24" spans="1:6" ht="24" customHeight="1">
      <c r="A24" s="47" t="s">
        <v>19</v>
      </c>
      <c r="B24" s="170">
        <v>37</v>
      </c>
      <c r="C24" s="170">
        <v>3074</v>
      </c>
      <c r="D24" s="170">
        <v>1529</v>
      </c>
      <c r="E24" s="170">
        <v>1445</v>
      </c>
      <c r="F24" s="171">
        <v>804</v>
      </c>
    </row>
    <row r="25" spans="1:6" ht="24" customHeight="1">
      <c r="A25" s="47" t="s">
        <v>124</v>
      </c>
      <c r="B25" s="170">
        <v>22</v>
      </c>
      <c r="C25" s="170">
        <v>324</v>
      </c>
      <c r="D25" s="170">
        <v>126</v>
      </c>
      <c r="E25" s="170">
        <v>71</v>
      </c>
      <c r="F25" s="171">
        <v>21</v>
      </c>
    </row>
    <row r="26" spans="1:6" ht="31.75" customHeight="1">
      <c r="A26" s="92" t="s">
        <v>201</v>
      </c>
      <c r="B26" s="170">
        <v>18</v>
      </c>
      <c r="C26" s="170">
        <v>239</v>
      </c>
      <c r="D26" s="170">
        <v>102</v>
      </c>
      <c r="E26" s="170">
        <v>32</v>
      </c>
      <c r="F26" s="171">
        <v>11</v>
      </c>
    </row>
    <row r="27" spans="1:6" ht="24" customHeight="1">
      <c r="A27" s="47" t="s">
        <v>202</v>
      </c>
      <c r="B27" s="170">
        <v>25</v>
      </c>
      <c r="C27" s="170">
        <v>724</v>
      </c>
      <c r="D27" s="170">
        <v>129</v>
      </c>
      <c r="E27" s="170">
        <v>34</v>
      </c>
      <c r="F27" s="171">
        <v>32</v>
      </c>
    </row>
    <row r="28" spans="1:6" ht="24" customHeight="1">
      <c r="A28" s="47" t="s">
        <v>21</v>
      </c>
      <c r="B28" s="170">
        <v>37</v>
      </c>
      <c r="C28" s="170">
        <v>986</v>
      </c>
      <c r="D28" s="170">
        <v>363</v>
      </c>
      <c r="E28" s="170">
        <v>147</v>
      </c>
      <c r="F28" s="171">
        <v>65</v>
      </c>
    </row>
    <row r="29" spans="1:6" ht="24" customHeight="1">
      <c r="A29" s="47" t="s">
        <v>203</v>
      </c>
      <c r="B29" s="170">
        <v>60</v>
      </c>
      <c r="C29" s="170">
        <v>2144</v>
      </c>
      <c r="D29" s="170">
        <v>1147</v>
      </c>
      <c r="E29" s="170">
        <v>592</v>
      </c>
      <c r="F29" s="171">
        <v>407</v>
      </c>
    </row>
    <row r="30" spans="1:6" ht="24" customHeight="1">
      <c r="A30" s="47" t="s">
        <v>144</v>
      </c>
      <c r="B30" s="170">
        <v>10</v>
      </c>
      <c r="C30" s="170">
        <v>171</v>
      </c>
      <c r="D30" s="170">
        <v>78</v>
      </c>
      <c r="E30" s="170">
        <v>62</v>
      </c>
      <c r="F30" s="171">
        <v>24</v>
      </c>
    </row>
    <row r="31" spans="1:6" ht="24" customHeight="1">
      <c r="A31" s="83" t="s">
        <v>23</v>
      </c>
      <c r="B31" s="170">
        <v>38</v>
      </c>
      <c r="C31" s="170">
        <v>1287</v>
      </c>
      <c r="D31" s="170">
        <v>606</v>
      </c>
      <c r="E31" s="170">
        <v>408</v>
      </c>
      <c r="F31" s="171">
        <v>194</v>
      </c>
    </row>
    <row r="32" spans="1:6" ht="24" customHeight="1">
      <c r="A32" s="47" t="s">
        <v>211</v>
      </c>
      <c r="B32" s="170">
        <v>29</v>
      </c>
      <c r="C32" s="170">
        <v>813</v>
      </c>
      <c r="D32" s="170">
        <v>441</v>
      </c>
      <c r="E32" s="170">
        <v>29</v>
      </c>
      <c r="F32" s="171">
        <v>26</v>
      </c>
    </row>
    <row r="33" spans="1:6" ht="24" customHeight="1">
      <c r="A33" s="47" t="s">
        <v>204</v>
      </c>
      <c r="B33" s="170">
        <v>4</v>
      </c>
      <c r="C33" s="170">
        <v>238</v>
      </c>
      <c r="D33" s="170">
        <v>176</v>
      </c>
      <c r="E33" s="170">
        <v>18</v>
      </c>
      <c r="F33" s="171">
        <v>16</v>
      </c>
    </row>
    <row r="34" spans="1:6" ht="24" customHeight="1">
      <c r="A34" s="47" t="s">
        <v>171</v>
      </c>
      <c r="B34" s="170">
        <v>22</v>
      </c>
      <c r="C34" s="170">
        <v>377</v>
      </c>
      <c r="D34" s="170">
        <v>165</v>
      </c>
      <c r="E34" s="170">
        <v>112</v>
      </c>
      <c r="F34" s="171">
        <v>60</v>
      </c>
    </row>
    <row r="35" spans="1:6" ht="24" customHeight="1">
      <c r="A35" s="47" t="s">
        <v>172</v>
      </c>
      <c r="B35" s="170">
        <v>13</v>
      </c>
      <c r="C35" s="170">
        <v>576</v>
      </c>
      <c r="D35" s="170">
        <v>241</v>
      </c>
      <c r="E35" s="170">
        <v>284</v>
      </c>
      <c r="F35" s="171">
        <v>108</v>
      </c>
    </row>
    <row r="36" spans="1:6" ht="24" customHeight="1">
      <c r="A36" s="47" t="s">
        <v>173</v>
      </c>
      <c r="B36" s="170">
        <v>19</v>
      </c>
      <c r="C36" s="170">
        <v>536</v>
      </c>
      <c r="D36" s="170">
        <v>231</v>
      </c>
      <c r="E36" s="170">
        <v>276</v>
      </c>
      <c r="F36" s="171">
        <v>127</v>
      </c>
    </row>
    <row r="37" spans="1:6" ht="24" customHeight="1">
      <c r="A37" s="47" t="s">
        <v>25</v>
      </c>
      <c r="B37" s="170">
        <v>32</v>
      </c>
      <c r="C37" s="170">
        <v>917</v>
      </c>
      <c r="D37" s="170">
        <v>304</v>
      </c>
      <c r="E37" s="170">
        <v>313</v>
      </c>
      <c r="F37" s="171">
        <v>92</v>
      </c>
    </row>
    <row r="38" spans="1:6" ht="24" customHeight="1">
      <c r="A38" s="47" t="s">
        <v>177</v>
      </c>
      <c r="B38" s="170">
        <v>18</v>
      </c>
      <c r="C38" s="170">
        <v>667</v>
      </c>
      <c r="D38" s="170">
        <v>234</v>
      </c>
      <c r="E38" s="170">
        <v>343</v>
      </c>
      <c r="F38" s="171">
        <v>112</v>
      </c>
    </row>
    <row r="39" spans="1:6" ht="24">
      <c r="A39" s="47" t="s">
        <v>205</v>
      </c>
      <c r="B39" s="170">
        <v>16</v>
      </c>
      <c r="C39" s="170">
        <v>636</v>
      </c>
      <c r="D39" s="170">
        <v>273</v>
      </c>
      <c r="E39" s="170">
        <v>372</v>
      </c>
      <c r="F39" s="171">
        <v>154</v>
      </c>
    </row>
    <row r="40" spans="1:6" ht="24" customHeight="1">
      <c r="A40" s="86"/>
      <c r="B40" s="55"/>
      <c r="C40" s="55"/>
      <c r="D40" s="55"/>
      <c r="E40" s="55"/>
      <c r="F40" s="55"/>
    </row>
    <row r="41" spans="1:6" ht="36" customHeight="1">
      <c r="A41" s="562" t="s">
        <v>1385</v>
      </c>
      <c r="B41" s="562"/>
      <c r="C41" s="562"/>
      <c r="D41" s="562"/>
      <c r="E41" s="562"/>
      <c r="F41" s="562"/>
    </row>
    <row r="42" spans="1:6" ht="33.75" customHeight="1">
      <c r="A42" s="561" t="s">
        <v>206</v>
      </c>
      <c r="B42" s="562"/>
      <c r="C42" s="562"/>
      <c r="D42" s="562"/>
      <c r="E42" s="562"/>
      <c r="F42" s="562"/>
    </row>
    <row r="43" spans="1:6" ht="24" customHeight="1"/>
    <row r="44" spans="1:6" ht="24" customHeight="1"/>
    <row r="45" spans="1:6" ht="24" customHeight="1"/>
    <row r="46" spans="1:6" ht="24" customHeight="1"/>
    <row r="47" spans="1:6" ht="24" customHeight="1"/>
    <row r="48" spans="1:6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spans="1:6" s="57" customFormat="1" ht="24" customHeight="1">
      <c r="A65" s="41"/>
      <c r="B65" s="41"/>
      <c r="C65" s="41"/>
      <c r="D65" s="41"/>
      <c r="E65" s="41"/>
      <c r="F65" s="41"/>
    </row>
    <row r="66" spans="1:6" s="50" customFormat="1" ht="24" customHeight="1">
      <c r="A66" s="41"/>
      <c r="B66" s="41"/>
      <c r="C66" s="41"/>
      <c r="D66" s="41"/>
      <c r="E66" s="41"/>
      <c r="F66" s="41"/>
    </row>
  </sheetData>
  <mergeCells count="12">
    <mergeCell ref="A7:F7"/>
    <mergeCell ref="A41:F41"/>
    <mergeCell ref="A42:F42"/>
    <mergeCell ref="A1:F1"/>
    <mergeCell ref="A2:F2"/>
    <mergeCell ref="E3:F3"/>
    <mergeCell ref="A4:A6"/>
    <mergeCell ref="B4:B6"/>
    <mergeCell ref="C4:F4"/>
    <mergeCell ref="C5:C6"/>
    <mergeCell ref="D5:D6"/>
    <mergeCell ref="E5:F5"/>
  </mergeCells>
  <hyperlinks>
    <hyperlink ref="E3" location="'Spis tablic'!A4" display="Powrót do spisu treści" xr:uid="{00000000-0004-0000-0C00-000000000000}"/>
    <hyperlink ref="E3:F3" location="'Spis tablic  List of tables'!A27" display="'Spis tablic  List of tables'!A27" xr:uid="{00000000-0004-0000-0C00-000001000000}"/>
  </hyperlinks>
  <printOptions gridLines="1"/>
  <pageMargins left="0.7" right="0.7" top="0.75" bottom="0.75" header="0.3" footer="0.3"/>
  <pageSetup paperSize="9" scale="95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H42"/>
  <sheetViews>
    <sheetView zoomScaleNormal="100" workbookViewId="0">
      <pane ySplit="6" topLeftCell="A7" activePane="bottomLeft" state="frozen"/>
      <selection activeCell="F16" sqref="F16"/>
      <selection pane="bottomLeft" activeCell="H2" sqref="H2"/>
    </sheetView>
  </sheetViews>
  <sheetFormatPr defaultColWidth="9.1796875" defaultRowHeight="14.5"/>
  <cols>
    <col min="1" max="1" width="21.81640625" style="50" customWidth="1"/>
    <col min="2" max="6" width="13.7265625" style="50" customWidth="1"/>
    <col min="7" max="7" width="11" style="50" customWidth="1"/>
    <col min="8" max="8" width="10.453125" style="50" customWidth="1"/>
    <col min="9" max="16384" width="9.1796875" style="50"/>
  </cols>
  <sheetData>
    <row r="1" spans="1:8" s="39" customFormat="1" ht="33" customHeight="1">
      <c r="A1" s="545" t="s">
        <v>1386</v>
      </c>
      <c r="B1" s="545"/>
      <c r="C1" s="545"/>
      <c r="D1" s="545"/>
      <c r="E1" s="545"/>
      <c r="F1" s="545"/>
    </row>
    <row r="2" spans="1:8" s="39" customFormat="1" ht="27" customHeight="1">
      <c r="A2" s="563" t="s">
        <v>1401</v>
      </c>
      <c r="B2" s="563"/>
      <c r="C2" s="563"/>
      <c r="D2" s="563"/>
      <c r="E2" s="563"/>
      <c r="F2" s="563"/>
    </row>
    <row r="3" spans="1:8" s="39" customFormat="1" ht="29.25" customHeight="1">
      <c r="A3" s="74"/>
      <c r="B3" s="74"/>
      <c r="C3" s="74"/>
      <c r="D3" s="74"/>
      <c r="E3" s="537" t="s">
        <v>5</v>
      </c>
      <c r="F3" s="547"/>
    </row>
    <row r="4" spans="1:8" s="41" customFormat="1" ht="27.75" customHeight="1">
      <c r="A4" s="548" t="s">
        <v>6</v>
      </c>
      <c r="B4" s="539" t="s">
        <v>35</v>
      </c>
      <c r="C4" s="543" t="s">
        <v>69</v>
      </c>
      <c r="D4" s="544"/>
      <c r="E4" s="544"/>
      <c r="F4" s="544"/>
    </row>
    <row r="5" spans="1:8" s="41" customFormat="1" ht="27" customHeight="1">
      <c r="A5" s="549"/>
      <c r="B5" s="551"/>
      <c r="C5" s="539" t="s">
        <v>80</v>
      </c>
      <c r="D5" s="539" t="s">
        <v>37</v>
      </c>
      <c r="E5" s="544" t="s">
        <v>81</v>
      </c>
      <c r="F5" s="544"/>
    </row>
    <row r="6" spans="1:8" s="75" customFormat="1" ht="42.75" customHeight="1">
      <c r="A6" s="550"/>
      <c r="B6" s="540"/>
      <c r="C6" s="540"/>
      <c r="D6" s="540"/>
      <c r="E6" s="44" t="s">
        <v>39</v>
      </c>
      <c r="F6" s="45" t="s">
        <v>72</v>
      </c>
      <c r="H6" s="91"/>
    </row>
    <row r="7" spans="1:8" ht="40.4" customHeight="1">
      <c r="A7" s="538" t="s">
        <v>48</v>
      </c>
      <c r="B7" s="538"/>
      <c r="C7" s="538"/>
      <c r="D7" s="538"/>
      <c r="E7" s="538"/>
      <c r="F7" s="538"/>
    </row>
    <row r="8" spans="1:8" ht="24" customHeight="1">
      <c r="A8" s="46" t="s">
        <v>1173</v>
      </c>
      <c r="B8" s="182">
        <v>2826</v>
      </c>
      <c r="C8" s="182">
        <v>136646</v>
      </c>
      <c r="D8" s="182">
        <v>16157</v>
      </c>
      <c r="E8" s="182">
        <v>81315</v>
      </c>
      <c r="F8" s="183">
        <v>13123</v>
      </c>
    </row>
    <row r="9" spans="1:8" ht="24" customHeight="1">
      <c r="A9" s="52">
        <v>2024</v>
      </c>
      <c r="B9" s="202">
        <v>3113</v>
      </c>
      <c r="C9" s="202">
        <v>170672</v>
      </c>
      <c r="D9" s="202">
        <v>21495</v>
      </c>
      <c r="E9" s="202">
        <v>107662</v>
      </c>
      <c r="F9" s="203">
        <v>17673</v>
      </c>
    </row>
    <row r="10" spans="1:8" ht="22.4" customHeight="1">
      <c r="A10" s="78" t="s">
        <v>1077</v>
      </c>
      <c r="B10" s="202"/>
      <c r="C10" s="202"/>
      <c r="D10" s="202"/>
      <c r="E10" s="202"/>
      <c r="F10" s="299"/>
    </row>
    <row r="11" spans="1:8" ht="24" customHeight="1">
      <c r="A11" s="47" t="s">
        <v>82</v>
      </c>
      <c r="B11" s="204">
        <v>3</v>
      </c>
      <c r="C11" s="204">
        <v>172</v>
      </c>
      <c r="D11" s="204">
        <v>103</v>
      </c>
      <c r="E11" s="204">
        <v>168</v>
      </c>
      <c r="F11" s="205">
        <v>100</v>
      </c>
    </row>
    <row r="12" spans="1:8" ht="24" customHeight="1">
      <c r="A12" s="47" t="s">
        <v>84</v>
      </c>
      <c r="B12" s="204">
        <v>8</v>
      </c>
      <c r="C12" s="204">
        <v>228</v>
      </c>
      <c r="D12" s="204">
        <v>99</v>
      </c>
      <c r="E12" s="204">
        <v>198</v>
      </c>
      <c r="F12" s="205">
        <v>90</v>
      </c>
    </row>
    <row r="13" spans="1:8" ht="24" customHeight="1">
      <c r="A13" s="310" t="s">
        <v>255</v>
      </c>
      <c r="B13" s="170">
        <v>3</v>
      </c>
      <c r="C13" s="170">
        <v>315</v>
      </c>
      <c r="D13" s="170">
        <v>82</v>
      </c>
      <c r="E13" s="170">
        <v>245</v>
      </c>
      <c r="F13" s="171">
        <v>82</v>
      </c>
    </row>
    <row r="14" spans="1:8" ht="24" customHeight="1">
      <c r="A14" s="47" t="s">
        <v>104</v>
      </c>
      <c r="B14" s="170">
        <v>40</v>
      </c>
      <c r="C14" s="170">
        <v>983</v>
      </c>
      <c r="D14" s="170">
        <v>833</v>
      </c>
      <c r="E14" s="170">
        <v>675</v>
      </c>
      <c r="F14" s="171">
        <v>621</v>
      </c>
    </row>
    <row r="15" spans="1:8" ht="24" customHeight="1">
      <c r="A15" s="47" t="s">
        <v>106</v>
      </c>
      <c r="B15" s="170">
        <v>14</v>
      </c>
      <c r="C15" s="170">
        <v>561</v>
      </c>
      <c r="D15" s="170">
        <v>250</v>
      </c>
      <c r="E15" s="170">
        <v>420</v>
      </c>
      <c r="F15" s="171">
        <v>203</v>
      </c>
    </row>
    <row r="16" spans="1:8" ht="24" customHeight="1">
      <c r="A16" s="47" t="s">
        <v>199</v>
      </c>
      <c r="B16" s="170">
        <v>12</v>
      </c>
      <c r="C16" s="170">
        <v>662</v>
      </c>
      <c r="D16" s="170">
        <v>227</v>
      </c>
      <c r="E16" s="170">
        <v>600</v>
      </c>
      <c r="F16" s="171">
        <v>214</v>
      </c>
    </row>
    <row r="17" spans="1:6" ht="24" customHeight="1">
      <c r="A17" s="47" t="s">
        <v>110</v>
      </c>
      <c r="B17" s="170">
        <v>7</v>
      </c>
      <c r="C17" s="170">
        <v>412</v>
      </c>
      <c r="D17" s="170">
        <v>105</v>
      </c>
      <c r="E17" s="170">
        <v>328</v>
      </c>
      <c r="F17" s="171">
        <v>97</v>
      </c>
    </row>
    <row r="18" spans="1:6" ht="24" customHeight="1">
      <c r="A18" s="83" t="s">
        <v>207</v>
      </c>
      <c r="B18" s="170">
        <v>36</v>
      </c>
      <c r="C18" s="170">
        <v>897</v>
      </c>
      <c r="D18" s="170">
        <v>268</v>
      </c>
      <c r="E18" s="170">
        <v>771</v>
      </c>
      <c r="F18" s="171">
        <v>236</v>
      </c>
    </row>
    <row r="19" spans="1:6" ht="24" customHeight="1">
      <c r="A19" s="47" t="s">
        <v>18</v>
      </c>
      <c r="B19" s="170">
        <v>24</v>
      </c>
      <c r="C19" s="170">
        <v>755</v>
      </c>
      <c r="D19" s="170">
        <v>259</v>
      </c>
      <c r="E19" s="170">
        <v>559</v>
      </c>
      <c r="F19" s="171">
        <v>237</v>
      </c>
    </row>
    <row r="20" spans="1:6" ht="24" customHeight="1">
      <c r="A20" s="47" t="s">
        <v>19</v>
      </c>
      <c r="B20" s="170">
        <v>114</v>
      </c>
      <c r="C20" s="170">
        <v>6325</v>
      </c>
      <c r="D20" s="170">
        <v>3605</v>
      </c>
      <c r="E20" s="170">
        <v>5204</v>
      </c>
      <c r="F20" s="171">
        <v>3050</v>
      </c>
    </row>
    <row r="21" spans="1:6" ht="24" customHeight="1">
      <c r="A21" s="47" t="s">
        <v>119</v>
      </c>
      <c r="B21" s="170">
        <v>17</v>
      </c>
      <c r="C21" s="170">
        <v>802</v>
      </c>
      <c r="D21" s="170">
        <v>395</v>
      </c>
      <c r="E21" s="170">
        <v>587</v>
      </c>
      <c r="F21" s="171">
        <v>303</v>
      </c>
    </row>
    <row r="22" spans="1:6" ht="24" customHeight="1">
      <c r="A22" s="83" t="s">
        <v>208</v>
      </c>
      <c r="B22" s="170">
        <v>14</v>
      </c>
      <c r="C22" s="170">
        <v>506</v>
      </c>
      <c r="D22" s="170">
        <v>238</v>
      </c>
      <c r="E22" s="170">
        <v>420</v>
      </c>
      <c r="F22" s="171">
        <v>207</v>
      </c>
    </row>
    <row r="23" spans="1:6" ht="24" customHeight="1">
      <c r="A23" s="47" t="s">
        <v>209</v>
      </c>
      <c r="B23" s="170">
        <v>2090</v>
      </c>
      <c r="C23" s="170">
        <v>131621</v>
      </c>
      <c r="D23" s="170">
        <v>6675</v>
      </c>
      <c r="E23" s="170">
        <v>80330</v>
      </c>
      <c r="F23" s="171">
        <v>5753</v>
      </c>
    </row>
    <row r="24" spans="1:6" ht="24" customHeight="1">
      <c r="A24" s="83" t="s">
        <v>210</v>
      </c>
      <c r="B24" s="170">
        <v>22</v>
      </c>
      <c r="C24" s="170">
        <v>998</v>
      </c>
      <c r="D24" s="170">
        <v>101</v>
      </c>
      <c r="E24" s="170">
        <v>639</v>
      </c>
      <c r="F24" s="171">
        <v>45</v>
      </c>
    </row>
    <row r="25" spans="1:6" ht="24" customHeight="1">
      <c r="A25" s="47" t="s">
        <v>21</v>
      </c>
      <c r="B25" s="170">
        <v>12</v>
      </c>
      <c r="C25" s="170">
        <v>588</v>
      </c>
      <c r="D25" s="170">
        <v>198</v>
      </c>
      <c r="E25" s="170">
        <v>426</v>
      </c>
      <c r="F25" s="171">
        <v>173</v>
      </c>
    </row>
    <row r="26" spans="1:6" ht="24" customHeight="1">
      <c r="A26" s="47" t="s">
        <v>203</v>
      </c>
      <c r="B26" s="170">
        <v>101</v>
      </c>
      <c r="C26" s="170">
        <v>3504</v>
      </c>
      <c r="D26" s="170">
        <v>1910</v>
      </c>
      <c r="E26" s="170">
        <v>2305</v>
      </c>
      <c r="F26" s="171">
        <v>1572</v>
      </c>
    </row>
    <row r="27" spans="1:6" ht="24" customHeight="1">
      <c r="A27" s="47" t="s">
        <v>139</v>
      </c>
      <c r="B27" s="170">
        <v>40</v>
      </c>
      <c r="C27" s="170">
        <v>1022</v>
      </c>
      <c r="D27" s="170">
        <v>407</v>
      </c>
      <c r="E27" s="170">
        <v>805</v>
      </c>
      <c r="F27" s="171">
        <v>330</v>
      </c>
    </row>
    <row r="28" spans="1:6" ht="24" customHeight="1">
      <c r="A28" s="83" t="s">
        <v>23</v>
      </c>
      <c r="B28" s="170">
        <v>9</v>
      </c>
      <c r="C28" s="170">
        <v>788</v>
      </c>
      <c r="D28" s="170">
        <v>417</v>
      </c>
      <c r="E28" s="170">
        <v>775</v>
      </c>
      <c r="F28" s="171">
        <v>415</v>
      </c>
    </row>
    <row r="29" spans="1:6" ht="24" customHeight="1">
      <c r="A29" s="47" t="s">
        <v>211</v>
      </c>
      <c r="B29" s="170">
        <v>29</v>
      </c>
      <c r="C29" s="170">
        <v>884</v>
      </c>
      <c r="D29" s="170">
        <v>402</v>
      </c>
      <c r="E29" s="170">
        <v>258</v>
      </c>
      <c r="F29" s="171">
        <v>90</v>
      </c>
    </row>
    <row r="30" spans="1:6" ht="24" customHeight="1">
      <c r="A30" s="47" t="s">
        <v>24</v>
      </c>
      <c r="B30" s="170">
        <v>10</v>
      </c>
      <c r="C30" s="170">
        <v>993</v>
      </c>
      <c r="D30" s="170">
        <v>83</v>
      </c>
      <c r="E30" s="170">
        <v>65</v>
      </c>
      <c r="F30" s="171">
        <v>23</v>
      </c>
    </row>
    <row r="31" spans="1:6" ht="24" customHeight="1">
      <c r="A31" s="47" t="s">
        <v>171</v>
      </c>
      <c r="B31" s="170">
        <v>56</v>
      </c>
      <c r="C31" s="170">
        <v>1903</v>
      </c>
      <c r="D31" s="170">
        <v>422</v>
      </c>
      <c r="E31" s="170">
        <v>1230</v>
      </c>
      <c r="F31" s="171">
        <v>307</v>
      </c>
    </row>
    <row r="32" spans="1:6" ht="24" customHeight="1">
      <c r="A32" s="293" t="s">
        <v>1233</v>
      </c>
      <c r="B32" s="170">
        <v>10</v>
      </c>
      <c r="C32" s="170">
        <v>1050</v>
      </c>
      <c r="D32" s="170">
        <v>448</v>
      </c>
      <c r="E32" s="170">
        <v>911</v>
      </c>
      <c r="F32" s="171">
        <v>411</v>
      </c>
    </row>
    <row r="33" spans="1:6" ht="24" customHeight="1">
      <c r="A33" s="293" t="s">
        <v>1144</v>
      </c>
      <c r="B33" s="170">
        <v>11</v>
      </c>
      <c r="C33" s="170">
        <v>649</v>
      </c>
      <c r="D33" s="170">
        <v>234</v>
      </c>
      <c r="E33" s="170">
        <v>629</v>
      </c>
      <c r="F33" s="171">
        <v>226</v>
      </c>
    </row>
    <row r="34" spans="1:6" ht="24" customHeight="1">
      <c r="A34" s="47" t="s">
        <v>173</v>
      </c>
      <c r="B34" s="170">
        <v>9</v>
      </c>
      <c r="C34" s="170">
        <v>232</v>
      </c>
      <c r="D34" s="170">
        <v>62</v>
      </c>
      <c r="E34" s="170">
        <v>67</v>
      </c>
      <c r="F34" s="171">
        <v>31</v>
      </c>
    </row>
    <row r="35" spans="1:6" ht="24" customHeight="1">
      <c r="A35" s="47" t="s">
        <v>25</v>
      </c>
      <c r="B35" s="170">
        <v>137</v>
      </c>
      <c r="C35" s="170">
        <v>4078</v>
      </c>
      <c r="D35" s="170">
        <v>753</v>
      </c>
      <c r="E35" s="170">
        <v>2194</v>
      </c>
      <c r="F35" s="171">
        <v>567</v>
      </c>
    </row>
    <row r="36" spans="1:6" ht="24" customHeight="1">
      <c r="A36" s="307" t="s">
        <v>1092</v>
      </c>
      <c r="B36" s="170">
        <v>4</v>
      </c>
      <c r="C36" s="170">
        <v>137</v>
      </c>
      <c r="D36" s="170">
        <v>25</v>
      </c>
      <c r="E36" s="170">
        <v>117</v>
      </c>
      <c r="F36" s="171">
        <v>25</v>
      </c>
    </row>
    <row r="37" spans="1:6" ht="24" customHeight="1">
      <c r="A37" s="47" t="s">
        <v>175</v>
      </c>
      <c r="B37" s="170">
        <v>12</v>
      </c>
      <c r="C37" s="170">
        <v>615</v>
      </c>
      <c r="D37" s="170">
        <v>297</v>
      </c>
      <c r="E37" s="170">
        <v>407</v>
      </c>
      <c r="F37" s="171">
        <v>232</v>
      </c>
    </row>
    <row r="38" spans="1:6" ht="24" customHeight="1">
      <c r="A38" s="83" t="s">
        <v>212</v>
      </c>
      <c r="B38" s="170">
        <v>15</v>
      </c>
      <c r="C38" s="170">
        <v>700</v>
      </c>
      <c r="D38" s="170">
        <v>38</v>
      </c>
      <c r="E38" s="170">
        <v>625</v>
      </c>
      <c r="F38" s="171">
        <v>36</v>
      </c>
    </row>
    <row r="39" spans="1:6" ht="24" customHeight="1">
      <c r="A39" s="83" t="s">
        <v>213</v>
      </c>
      <c r="B39" s="170">
        <v>24</v>
      </c>
      <c r="C39" s="170">
        <v>1325</v>
      </c>
      <c r="D39" s="170">
        <v>221</v>
      </c>
      <c r="E39" s="170">
        <v>1085</v>
      </c>
      <c r="F39" s="171">
        <v>161</v>
      </c>
    </row>
    <row r="40" spans="1:6" ht="24" customHeight="1">
      <c r="A40" s="93"/>
      <c r="B40" s="55"/>
      <c r="C40" s="55"/>
      <c r="D40" s="55"/>
      <c r="E40" s="55"/>
      <c r="F40" s="55"/>
    </row>
    <row r="41" spans="1:6" s="57" customFormat="1" ht="24" customHeight="1">
      <c r="A41" s="562" t="s">
        <v>214</v>
      </c>
      <c r="B41" s="562"/>
      <c r="C41" s="562"/>
      <c r="D41" s="562"/>
      <c r="E41" s="562"/>
      <c r="F41" s="562"/>
    </row>
    <row r="42" spans="1:6" ht="33" customHeight="1">
      <c r="A42" s="561" t="s">
        <v>215</v>
      </c>
      <c r="B42" s="562"/>
      <c r="C42" s="562"/>
      <c r="D42" s="562"/>
      <c r="E42" s="562"/>
      <c r="F42" s="562"/>
    </row>
  </sheetData>
  <mergeCells count="12">
    <mergeCell ref="A7:F7"/>
    <mergeCell ref="A41:F41"/>
    <mergeCell ref="A42:F42"/>
    <mergeCell ref="A1:F1"/>
    <mergeCell ref="A2:F2"/>
    <mergeCell ref="E3:F3"/>
    <mergeCell ref="A4:A6"/>
    <mergeCell ref="B4:B6"/>
    <mergeCell ref="C4:F4"/>
    <mergeCell ref="C5:C6"/>
    <mergeCell ref="D5:D6"/>
    <mergeCell ref="E5:F5"/>
  </mergeCells>
  <hyperlinks>
    <hyperlink ref="E3" location="'Spis tablic'!A4" display="Powrót do spisu treści" xr:uid="{00000000-0004-0000-0D00-000000000000}"/>
    <hyperlink ref="E3:F3" location="'Spis tablic  List of tables'!A29" display="'Spis tablic  List of tables'!A29" xr:uid="{00000000-0004-0000-0D00-000001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>
    <pageSetUpPr fitToPage="1"/>
  </sheetPr>
  <dimension ref="A1:H27"/>
  <sheetViews>
    <sheetView zoomScaleNormal="100" workbookViewId="0">
      <pane ySplit="6" topLeftCell="A7" activePane="bottomLeft" state="frozen"/>
      <selection activeCell="F16" sqref="F16"/>
      <selection pane="bottomLeft" activeCell="A16" sqref="A16"/>
    </sheetView>
  </sheetViews>
  <sheetFormatPr defaultColWidth="9.1796875" defaultRowHeight="14.5"/>
  <cols>
    <col min="1" max="1" width="25.54296875" style="50" customWidth="1"/>
    <col min="2" max="2" width="11.453125" style="50" customWidth="1"/>
    <col min="3" max="3" width="13" style="50" customWidth="1"/>
    <col min="4" max="4" width="11.81640625" style="50" customWidth="1"/>
    <col min="5" max="5" width="13.81640625" style="50" customWidth="1"/>
    <col min="6" max="6" width="15" style="50" customWidth="1"/>
    <col min="7" max="7" width="11" style="50" customWidth="1"/>
    <col min="8" max="8" width="10.453125" style="50" customWidth="1"/>
    <col min="9" max="16384" width="9.1796875" style="50"/>
  </cols>
  <sheetData>
    <row r="1" spans="1:8" s="69" customFormat="1" ht="30.65" customHeight="1">
      <c r="A1" s="564" t="s">
        <v>1174</v>
      </c>
      <c r="B1" s="564"/>
      <c r="C1" s="564"/>
      <c r="D1" s="564"/>
      <c r="E1" s="564"/>
      <c r="F1" s="564"/>
    </row>
    <row r="2" spans="1:8" s="69" customFormat="1" ht="27" customHeight="1">
      <c r="A2" s="563" t="s">
        <v>1175</v>
      </c>
      <c r="B2" s="565"/>
      <c r="C2" s="565"/>
      <c r="D2" s="565"/>
      <c r="E2" s="565"/>
      <c r="F2" s="565"/>
    </row>
    <row r="3" spans="1:8" s="39" customFormat="1" ht="29.5" customHeight="1">
      <c r="A3" s="74"/>
      <c r="B3" s="94"/>
      <c r="C3" s="94"/>
      <c r="D3" s="94"/>
      <c r="E3" s="537" t="s">
        <v>5</v>
      </c>
      <c r="F3" s="547"/>
    </row>
    <row r="4" spans="1:8" s="41" customFormat="1" ht="24" customHeight="1">
      <c r="A4" s="548" t="s">
        <v>6</v>
      </c>
      <c r="B4" s="539" t="s">
        <v>35</v>
      </c>
      <c r="C4" s="543" t="s">
        <v>69</v>
      </c>
      <c r="D4" s="544"/>
      <c r="E4" s="544"/>
      <c r="F4" s="544"/>
    </row>
    <row r="5" spans="1:8" s="41" customFormat="1" ht="24" customHeight="1">
      <c r="A5" s="549"/>
      <c r="B5" s="551"/>
      <c r="C5" s="539" t="s">
        <v>80</v>
      </c>
      <c r="D5" s="539" t="s">
        <v>37</v>
      </c>
      <c r="E5" s="544" t="s">
        <v>81</v>
      </c>
      <c r="F5" s="544"/>
    </row>
    <row r="6" spans="1:8" s="75" customFormat="1" ht="31.4" customHeight="1">
      <c r="A6" s="550"/>
      <c r="B6" s="540"/>
      <c r="C6" s="540"/>
      <c r="D6" s="540"/>
      <c r="E6" s="44" t="s">
        <v>39</v>
      </c>
      <c r="F6" s="45" t="s">
        <v>72</v>
      </c>
      <c r="H6" s="91"/>
    </row>
    <row r="7" spans="1:8" ht="40.4" customHeight="1">
      <c r="A7" s="538" t="s">
        <v>216</v>
      </c>
      <c r="B7" s="538"/>
      <c r="C7" s="538"/>
      <c r="D7" s="538"/>
      <c r="E7" s="538"/>
      <c r="F7" s="538"/>
    </row>
    <row r="8" spans="1:8" ht="24" customHeight="1">
      <c r="A8" s="88" t="s">
        <v>1176</v>
      </c>
      <c r="B8" s="182">
        <v>234</v>
      </c>
      <c r="C8" s="182">
        <v>9220</v>
      </c>
      <c r="D8" s="182">
        <v>3868</v>
      </c>
      <c r="E8" s="182">
        <v>8013</v>
      </c>
      <c r="F8" s="183">
        <v>3553</v>
      </c>
    </row>
    <row r="9" spans="1:8" ht="24" customHeight="1">
      <c r="A9" s="52">
        <v>2024</v>
      </c>
      <c r="B9" s="202">
        <v>237</v>
      </c>
      <c r="C9" s="202">
        <v>14467</v>
      </c>
      <c r="D9" s="202">
        <v>6434</v>
      </c>
      <c r="E9" s="202">
        <v>13060</v>
      </c>
      <c r="F9" s="203">
        <v>5834</v>
      </c>
    </row>
    <row r="10" spans="1:8" ht="22.4" customHeight="1">
      <c r="A10" s="78" t="s">
        <v>1077</v>
      </c>
      <c r="B10" s="202"/>
      <c r="C10" s="202"/>
      <c r="D10" s="202"/>
      <c r="E10" s="202"/>
      <c r="F10" s="299"/>
    </row>
    <row r="11" spans="1:8" ht="24" customHeight="1">
      <c r="A11" s="47" t="s">
        <v>93</v>
      </c>
      <c r="B11" s="170">
        <v>2</v>
      </c>
      <c r="C11" s="170">
        <v>81</v>
      </c>
      <c r="D11" s="170">
        <v>22</v>
      </c>
      <c r="E11" s="170">
        <v>53</v>
      </c>
      <c r="F11" s="205">
        <v>15</v>
      </c>
    </row>
    <row r="12" spans="1:8" ht="24" customHeight="1">
      <c r="A12" s="489" t="s">
        <v>98</v>
      </c>
      <c r="B12" s="170">
        <v>10</v>
      </c>
      <c r="C12" s="170">
        <v>765</v>
      </c>
      <c r="D12" s="170">
        <v>579</v>
      </c>
      <c r="E12" s="170">
        <v>742</v>
      </c>
      <c r="F12" s="205">
        <v>568</v>
      </c>
    </row>
    <row r="13" spans="1:8" ht="24" customHeight="1">
      <c r="A13" s="489" t="s">
        <v>16</v>
      </c>
      <c r="B13" s="170">
        <v>6</v>
      </c>
      <c r="C13" s="170">
        <v>266</v>
      </c>
      <c r="D13" s="170">
        <v>74</v>
      </c>
      <c r="E13" s="170">
        <v>246</v>
      </c>
      <c r="F13" s="205">
        <v>66</v>
      </c>
    </row>
    <row r="14" spans="1:8" ht="24" customHeight="1">
      <c r="A14" s="47" t="s">
        <v>18</v>
      </c>
      <c r="B14" s="170">
        <v>23</v>
      </c>
      <c r="C14" s="170">
        <v>1407</v>
      </c>
      <c r="D14" s="170">
        <v>385</v>
      </c>
      <c r="E14" s="170">
        <v>1307</v>
      </c>
      <c r="F14" s="171">
        <v>345</v>
      </c>
    </row>
    <row r="15" spans="1:8" ht="24" customHeight="1">
      <c r="A15" s="47" t="s">
        <v>19</v>
      </c>
      <c r="B15" s="170">
        <v>37</v>
      </c>
      <c r="C15" s="170">
        <v>2287</v>
      </c>
      <c r="D15" s="170">
        <v>1251</v>
      </c>
      <c r="E15" s="170">
        <v>2053</v>
      </c>
      <c r="F15" s="171">
        <v>1130</v>
      </c>
    </row>
    <row r="16" spans="1:8" ht="24" customHeight="1">
      <c r="A16" s="83" t="s">
        <v>208</v>
      </c>
      <c r="B16" s="170">
        <v>2</v>
      </c>
      <c r="C16" s="170">
        <v>104</v>
      </c>
      <c r="D16" s="170">
        <v>57</v>
      </c>
      <c r="E16" s="170">
        <v>76</v>
      </c>
      <c r="F16" s="171">
        <v>41</v>
      </c>
    </row>
    <row r="17" spans="1:6" ht="24" customHeight="1">
      <c r="A17" s="47" t="s">
        <v>217</v>
      </c>
      <c r="B17" s="170">
        <v>19</v>
      </c>
      <c r="C17" s="170">
        <v>1785</v>
      </c>
      <c r="D17" s="170">
        <v>94</v>
      </c>
      <c r="E17" s="170">
        <v>1643</v>
      </c>
      <c r="F17" s="171">
        <v>32</v>
      </c>
    </row>
    <row r="18" spans="1:6" ht="24" customHeight="1">
      <c r="A18" s="47" t="s">
        <v>21</v>
      </c>
      <c r="B18" s="170">
        <v>22</v>
      </c>
      <c r="C18" s="170">
        <v>1466</v>
      </c>
      <c r="D18" s="170">
        <v>711</v>
      </c>
      <c r="E18" s="170">
        <v>1296</v>
      </c>
      <c r="F18" s="171">
        <v>656</v>
      </c>
    </row>
    <row r="19" spans="1:6" ht="24" customHeight="1">
      <c r="A19" s="47" t="s">
        <v>218</v>
      </c>
      <c r="B19" s="170">
        <v>28</v>
      </c>
      <c r="C19" s="170">
        <v>1547</v>
      </c>
      <c r="D19" s="170">
        <v>1274</v>
      </c>
      <c r="E19" s="170">
        <v>1425</v>
      </c>
      <c r="F19" s="171">
        <v>1177</v>
      </c>
    </row>
    <row r="20" spans="1:6" ht="24" customHeight="1">
      <c r="A20" s="83" t="s">
        <v>23</v>
      </c>
      <c r="B20" s="170">
        <v>18</v>
      </c>
      <c r="C20" s="170">
        <v>1945</v>
      </c>
      <c r="D20" s="170">
        <v>914</v>
      </c>
      <c r="E20" s="170">
        <v>1913</v>
      </c>
      <c r="F20" s="171">
        <v>901</v>
      </c>
    </row>
    <row r="21" spans="1:6" ht="24" customHeight="1">
      <c r="A21" s="47" t="s">
        <v>219</v>
      </c>
      <c r="B21" s="170">
        <v>1</v>
      </c>
      <c r="C21" s="170">
        <v>43</v>
      </c>
      <c r="D21" s="170">
        <v>14</v>
      </c>
      <c r="E21" s="170">
        <v>33</v>
      </c>
      <c r="F21" s="171">
        <v>10</v>
      </c>
    </row>
    <row r="22" spans="1:6" ht="24" customHeight="1">
      <c r="A22" s="47" t="s">
        <v>171</v>
      </c>
      <c r="B22" s="170">
        <v>4</v>
      </c>
      <c r="C22" s="170">
        <v>241</v>
      </c>
      <c r="D22" s="170">
        <v>59</v>
      </c>
      <c r="E22" s="170">
        <v>194</v>
      </c>
      <c r="F22" s="171">
        <v>46</v>
      </c>
    </row>
    <row r="23" spans="1:6" ht="24" customHeight="1">
      <c r="A23" s="47" t="s">
        <v>173</v>
      </c>
      <c r="B23" s="170">
        <v>1</v>
      </c>
      <c r="C23" s="170">
        <v>15</v>
      </c>
      <c r="D23" s="170">
        <v>11</v>
      </c>
      <c r="E23" s="170">
        <v>12</v>
      </c>
      <c r="F23" s="171">
        <v>9</v>
      </c>
    </row>
    <row r="24" spans="1:6" ht="24" customHeight="1">
      <c r="A24" s="47" t="s">
        <v>25</v>
      </c>
      <c r="B24" s="170">
        <v>14</v>
      </c>
      <c r="C24" s="170">
        <v>671</v>
      </c>
      <c r="D24" s="170">
        <v>167</v>
      </c>
      <c r="E24" s="170">
        <v>533</v>
      </c>
      <c r="F24" s="171">
        <v>119</v>
      </c>
    </row>
    <row r="25" spans="1:6" ht="24" customHeight="1">
      <c r="A25" s="47"/>
      <c r="B25" s="67"/>
      <c r="C25" s="67"/>
      <c r="D25" s="67"/>
      <c r="E25" s="67"/>
      <c r="F25" s="67"/>
    </row>
    <row r="26" spans="1:6" s="57" customFormat="1" ht="24" customHeight="1">
      <c r="A26" s="562" t="s">
        <v>220</v>
      </c>
      <c r="B26" s="562"/>
      <c r="C26" s="562"/>
      <c r="D26" s="562"/>
      <c r="E26" s="562"/>
      <c r="F26" s="562"/>
    </row>
    <row r="27" spans="1:6" ht="24" customHeight="1">
      <c r="A27" s="561" t="s">
        <v>221</v>
      </c>
      <c r="B27" s="561"/>
      <c r="C27" s="561"/>
      <c r="D27" s="561"/>
      <c r="E27" s="561"/>
      <c r="F27" s="561"/>
    </row>
  </sheetData>
  <mergeCells count="12">
    <mergeCell ref="A7:F7"/>
    <mergeCell ref="A26:F26"/>
    <mergeCell ref="A27:F27"/>
    <mergeCell ref="A1:F1"/>
    <mergeCell ref="A2:F2"/>
    <mergeCell ref="E3:F3"/>
    <mergeCell ref="A4:A6"/>
    <mergeCell ref="B4:B6"/>
    <mergeCell ref="C4:F4"/>
    <mergeCell ref="C5:C6"/>
    <mergeCell ref="D5:D6"/>
    <mergeCell ref="E5:F5"/>
  </mergeCells>
  <hyperlinks>
    <hyperlink ref="E3" location="'Spis tablic'!A4" display="Powrót do spisu treści" xr:uid="{00000000-0004-0000-0E00-000000000000}"/>
    <hyperlink ref="E3:F3" location="'Spis tablic  List of tables'!A31" display="'Spis tablic  List of tables'!A31" xr:uid="{00000000-0004-0000-0E00-000001000000}"/>
  </hyperlinks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H64"/>
  <sheetViews>
    <sheetView zoomScaleNormal="100" workbookViewId="0">
      <pane ySplit="6" topLeftCell="A7" activePane="bottomLeft" state="frozen"/>
      <selection activeCell="F16" sqref="F16"/>
      <selection pane="bottomLeft" activeCell="E3" sqref="E3:F3"/>
    </sheetView>
  </sheetViews>
  <sheetFormatPr defaultColWidth="9.1796875" defaultRowHeight="14.5"/>
  <cols>
    <col min="1" max="1" width="23.453125" style="50" customWidth="1"/>
    <col min="2" max="2" width="13.453125" style="50" customWidth="1"/>
    <col min="3" max="3" width="14.54296875" style="50" customWidth="1"/>
    <col min="4" max="4" width="14.1796875" style="50" customWidth="1"/>
    <col min="5" max="5" width="15.453125" style="50" customWidth="1"/>
    <col min="6" max="6" width="15.54296875" style="50" customWidth="1"/>
    <col min="7" max="7" width="11" style="50" customWidth="1"/>
    <col min="8" max="8" width="10.453125" style="50" customWidth="1"/>
    <col min="9" max="16384" width="9.1796875" style="50"/>
  </cols>
  <sheetData>
    <row r="1" spans="1:8" s="39" customFormat="1" ht="27.75" customHeight="1">
      <c r="A1" s="545" t="s">
        <v>1187</v>
      </c>
      <c r="B1" s="545"/>
      <c r="C1" s="545"/>
      <c r="D1" s="545"/>
      <c r="E1" s="545"/>
      <c r="F1" s="545"/>
    </row>
    <row r="2" spans="1:8" s="39" customFormat="1" ht="26.15" customHeight="1">
      <c r="A2" s="556" t="s">
        <v>1188</v>
      </c>
      <c r="B2" s="556"/>
      <c r="C2" s="556"/>
      <c r="D2" s="556"/>
      <c r="E2" s="556"/>
      <c r="F2" s="556"/>
    </row>
    <row r="3" spans="1:8" s="39" customFormat="1" ht="26.15" customHeight="1">
      <c r="B3" s="49"/>
      <c r="E3" s="537" t="s">
        <v>5</v>
      </c>
      <c r="F3" s="547"/>
    </row>
    <row r="4" spans="1:8" s="41" customFormat="1" ht="27.75" customHeight="1">
      <c r="A4" s="548" t="s">
        <v>6</v>
      </c>
      <c r="B4" s="539" t="s">
        <v>35</v>
      </c>
      <c r="C4" s="543" t="s">
        <v>69</v>
      </c>
      <c r="D4" s="544"/>
      <c r="E4" s="544"/>
      <c r="F4" s="544"/>
    </row>
    <row r="5" spans="1:8" s="41" customFormat="1" ht="27" customHeight="1">
      <c r="A5" s="549"/>
      <c r="B5" s="551"/>
      <c r="C5" s="539" t="s">
        <v>80</v>
      </c>
      <c r="D5" s="539" t="s">
        <v>37</v>
      </c>
      <c r="E5" s="544" t="s">
        <v>81</v>
      </c>
      <c r="F5" s="544"/>
    </row>
    <row r="6" spans="1:8" s="75" customFormat="1" ht="42.75" customHeight="1">
      <c r="A6" s="550"/>
      <c r="B6" s="540"/>
      <c r="C6" s="540"/>
      <c r="D6" s="540"/>
      <c r="E6" s="44" t="s">
        <v>39</v>
      </c>
      <c r="F6" s="45" t="s">
        <v>72</v>
      </c>
      <c r="H6" s="91"/>
    </row>
    <row r="7" spans="1:8" s="57" customFormat="1" ht="40.4" customHeight="1">
      <c r="A7" s="538" t="s">
        <v>48</v>
      </c>
      <c r="B7" s="538"/>
      <c r="C7" s="538"/>
      <c r="D7" s="538"/>
      <c r="E7" s="538"/>
      <c r="F7" s="538"/>
      <c r="G7" s="50"/>
      <c r="H7" s="50"/>
    </row>
    <row r="8" spans="1:8" ht="24" customHeight="1">
      <c r="A8" s="88" t="s">
        <v>1389</v>
      </c>
      <c r="B8" s="182">
        <v>8210</v>
      </c>
      <c r="C8" s="182">
        <v>351776</v>
      </c>
      <c r="D8" s="182">
        <v>138239</v>
      </c>
      <c r="E8" s="182">
        <v>314966</v>
      </c>
      <c r="F8" s="183">
        <v>128686</v>
      </c>
    </row>
    <row r="9" spans="1:8" ht="24" customHeight="1">
      <c r="A9" s="251">
        <v>2024</v>
      </c>
      <c r="B9" s="202">
        <v>8579</v>
      </c>
      <c r="C9" s="202">
        <v>406601</v>
      </c>
      <c r="D9" s="202">
        <v>161954</v>
      </c>
      <c r="E9" s="202">
        <v>368424</v>
      </c>
      <c r="F9" s="203">
        <v>151269</v>
      </c>
    </row>
    <row r="10" spans="1:8" ht="22.4" customHeight="1">
      <c r="A10" s="78" t="s">
        <v>1077</v>
      </c>
      <c r="B10" s="202"/>
      <c r="C10" s="202"/>
      <c r="D10" s="202"/>
      <c r="E10" s="202"/>
      <c r="F10" s="299"/>
    </row>
    <row r="11" spans="1:8" s="57" customFormat="1" ht="24" customHeight="1">
      <c r="A11" s="47" t="s">
        <v>82</v>
      </c>
      <c r="B11" s="204">
        <v>85</v>
      </c>
      <c r="C11" s="204">
        <v>9362</v>
      </c>
      <c r="D11" s="204">
        <v>8182</v>
      </c>
      <c r="E11" s="204">
        <v>9135</v>
      </c>
      <c r="F11" s="205">
        <v>8051</v>
      </c>
      <c r="G11" s="50"/>
      <c r="H11" s="50"/>
    </row>
    <row r="12" spans="1:8" s="57" customFormat="1" ht="24" customHeight="1">
      <c r="A12" s="47" t="s">
        <v>84</v>
      </c>
      <c r="B12" s="204">
        <v>205</v>
      </c>
      <c r="C12" s="204">
        <v>6071</v>
      </c>
      <c r="D12" s="204">
        <v>2842</v>
      </c>
      <c r="E12" s="204">
        <v>4942</v>
      </c>
      <c r="F12" s="205">
        <v>2372</v>
      </c>
      <c r="G12" s="50"/>
      <c r="H12" s="50"/>
    </row>
    <row r="13" spans="1:8" s="57" customFormat="1" ht="24" customHeight="1">
      <c r="A13" s="47" t="s">
        <v>85</v>
      </c>
      <c r="B13" s="204">
        <v>8</v>
      </c>
      <c r="C13" s="204">
        <v>505</v>
      </c>
      <c r="D13" s="204">
        <v>148</v>
      </c>
      <c r="E13" s="204">
        <v>431</v>
      </c>
      <c r="F13" s="205">
        <v>146</v>
      </c>
      <c r="G13" s="50"/>
      <c r="H13" s="50"/>
    </row>
    <row r="14" spans="1:8" s="57" customFormat="1" ht="24" customHeight="1">
      <c r="A14" s="47" t="s">
        <v>88</v>
      </c>
      <c r="B14" s="204">
        <v>33</v>
      </c>
      <c r="C14" s="204">
        <v>809</v>
      </c>
      <c r="D14" s="204">
        <v>515</v>
      </c>
      <c r="E14" s="204">
        <v>793</v>
      </c>
      <c r="F14" s="205">
        <v>513</v>
      </c>
      <c r="G14" s="50"/>
      <c r="H14" s="50"/>
    </row>
    <row r="15" spans="1:8" s="57" customFormat="1" ht="24" customHeight="1">
      <c r="A15" s="47" t="s">
        <v>89</v>
      </c>
      <c r="B15" s="204">
        <v>33</v>
      </c>
      <c r="C15" s="204">
        <v>871</v>
      </c>
      <c r="D15" s="204">
        <v>332</v>
      </c>
      <c r="E15" s="204">
        <v>650</v>
      </c>
      <c r="F15" s="205">
        <v>266</v>
      </c>
      <c r="G15" s="50"/>
      <c r="H15" s="50"/>
    </row>
    <row r="16" spans="1:8" s="57" customFormat="1" ht="24" customHeight="1">
      <c r="A16" s="47" t="s">
        <v>93</v>
      </c>
      <c r="B16" s="170">
        <v>56</v>
      </c>
      <c r="C16" s="170">
        <v>2336</v>
      </c>
      <c r="D16" s="170">
        <v>556</v>
      </c>
      <c r="E16" s="170">
        <v>1562</v>
      </c>
      <c r="F16" s="171">
        <v>335</v>
      </c>
      <c r="G16" s="50"/>
      <c r="H16" s="50"/>
    </row>
    <row r="17" spans="1:6" ht="24" customHeight="1">
      <c r="A17" s="47" t="s">
        <v>98</v>
      </c>
      <c r="B17" s="170">
        <v>89</v>
      </c>
      <c r="C17" s="170">
        <v>5994</v>
      </c>
      <c r="D17" s="170">
        <v>5145</v>
      </c>
      <c r="E17" s="170">
        <v>5887</v>
      </c>
      <c r="F17" s="171">
        <v>5065</v>
      </c>
    </row>
    <row r="18" spans="1:6" ht="24" customHeight="1">
      <c r="A18" s="47" t="s">
        <v>100</v>
      </c>
      <c r="B18" s="170">
        <v>235</v>
      </c>
      <c r="C18" s="170">
        <v>9304</v>
      </c>
      <c r="D18" s="170">
        <v>3866</v>
      </c>
      <c r="E18" s="170">
        <v>8730</v>
      </c>
      <c r="F18" s="171">
        <v>3665</v>
      </c>
    </row>
    <row r="19" spans="1:6" ht="24" customHeight="1">
      <c r="A19" s="95" t="s">
        <v>101</v>
      </c>
      <c r="B19" s="170">
        <v>21</v>
      </c>
      <c r="C19" s="170">
        <v>1584</v>
      </c>
      <c r="D19" s="170">
        <v>392</v>
      </c>
      <c r="E19" s="170">
        <v>1422</v>
      </c>
      <c r="F19" s="171">
        <v>346</v>
      </c>
    </row>
    <row r="20" spans="1:6" ht="24" customHeight="1">
      <c r="A20" s="95" t="s">
        <v>102</v>
      </c>
      <c r="B20" s="170">
        <v>20</v>
      </c>
      <c r="C20" s="170">
        <v>1311</v>
      </c>
      <c r="D20" s="170">
        <v>718</v>
      </c>
      <c r="E20" s="170">
        <v>1205</v>
      </c>
      <c r="F20" s="171">
        <v>657</v>
      </c>
    </row>
    <row r="21" spans="1:6" ht="24" customHeight="1">
      <c r="A21" s="95" t="s">
        <v>103</v>
      </c>
      <c r="B21" s="170">
        <v>194</v>
      </c>
      <c r="C21" s="170">
        <v>6409</v>
      </c>
      <c r="D21" s="170">
        <v>2756</v>
      </c>
      <c r="E21" s="170">
        <v>6103</v>
      </c>
      <c r="F21" s="171">
        <v>2662</v>
      </c>
    </row>
    <row r="22" spans="1:6" ht="24" customHeight="1">
      <c r="A22" s="47" t="s">
        <v>104</v>
      </c>
      <c r="B22" s="170">
        <v>37</v>
      </c>
      <c r="C22" s="170">
        <v>587</v>
      </c>
      <c r="D22" s="170">
        <v>474</v>
      </c>
      <c r="E22" s="170">
        <v>414</v>
      </c>
      <c r="F22" s="171">
        <v>365</v>
      </c>
    </row>
    <row r="23" spans="1:6" ht="24" customHeight="1">
      <c r="A23" s="47" t="s">
        <v>16</v>
      </c>
      <c r="B23" s="170">
        <v>212</v>
      </c>
      <c r="C23" s="170">
        <v>25748</v>
      </c>
      <c r="D23" s="170">
        <v>8506</v>
      </c>
      <c r="E23" s="170">
        <v>25099</v>
      </c>
      <c r="F23" s="171">
        <v>8350</v>
      </c>
    </row>
    <row r="24" spans="1:6" ht="24" customHeight="1">
      <c r="A24" s="47" t="s">
        <v>105</v>
      </c>
      <c r="B24" s="170">
        <v>40</v>
      </c>
      <c r="C24" s="170">
        <v>1770</v>
      </c>
      <c r="D24" s="170">
        <v>496</v>
      </c>
      <c r="E24" s="170">
        <v>1441</v>
      </c>
      <c r="F24" s="171">
        <v>442</v>
      </c>
    </row>
    <row r="25" spans="1:6" ht="24" customHeight="1">
      <c r="A25" s="47" t="s">
        <v>106</v>
      </c>
      <c r="B25" s="170">
        <v>48</v>
      </c>
      <c r="C25" s="170">
        <v>1730</v>
      </c>
      <c r="D25" s="170">
        <v>715</v>
      </c>
      <c r="E25" s="170">
        <v>1493</v>
      </c>
      <c r="F25" s="171">
        <v>654</v>
      </c>
    </row>
    <row r="26" spans="1:6" ht="24" customHeight="1">
      <c r="A26" s="47" t="s">
        <v>108</v>
      </c>
      <c r="B26" s="170">
        <v>145</v>
      </c>
      <c r="C26" s="170">
        <v>11457</v>
      </c>
      <c r="D26" s="170">
        <v>4448</v>
      </c>
      <c r="E26" s="170">
        <v>10116</v>
      </c>
      <c r="F26" s="171">
        <v>4018</v>
      </c>
    </row>
    <row r="27" spans="1:6" ht="24" customHeight="1">
      <c r="A27" s="47" t="s">
        <v>110</v>
      </c>
      <c r="B27" s="170">
        <v>50</v>
      </c>
      <c r="C27" s="170">
        <v>2391</v>
      </c>
      <c r="D27" s="170">
        <v>535</v>
      </c>
      <c r="E27" s="170">
        <v>1656</v>
      </c>
      <c r="F27" s="171">
        <v>401</v>
      </c>
    </row>
    <row r="28" spans="1:6" ht="24" customHeight="1">
      <c r="A28" s="47" t="s">
        <v>111</v>
      </c>
      <c r="B28" s="170">
        <v>119</v>
      </c>
      <c r="C28" s="170">
        <v>2100</v>
      </c>
      <c r="D28" s="170">
        <v>592</v>
      </c>
      <c r="E28" s="170">
        <v>1829</v>
      </c>
      <c r="F28" s="171">
        <v>551</v>
      </c>
    </row>
    <row r="29" spans="1:6" ht="35.5" customHeight="1">
      <c r="A29" s="95" t="s">
        <v>222</v>
      </c>
      <c r="B29" s="170">
        <v>34</v>
      </c>
      <c r="C29" s="170">
        <v>570</v>
      </c>
      <c r="D29" s="170">
        <v>145</v>
      </c>
      <c r="E29" s="170">
        <v>498</v>
      </c>
      <c r="F29" s="171">
        <v>138</v>
      </c>
    </row>
    <row r="30" spans="1:6" ht="24" customHeight="1">
      <c r="A30" s="95" t="s">
        <v>223</v>
      </c>
      <c r="B30" s="170">
        <v>50</v>
      </c>
      <c r="C30" s="170">
        <v>975</v>
      </c>
      <c r="D30" s="170">
        <v>317</v>
      </c>
      <c r="E30" s="170">
        <v>865</v>
      </c>
      <c r="F30" s="171">
        <v>289</v>
      </c>
    </row>
    <row r="31" spans="1:6" ht="24" customHeight="1">
      <c r="A31" s="47" t="s">
        <v>18</v>
      </c>
      <c r="B31" s="170">
        <v>546</v>
      </c>
      <c r="C31" s="170">
        <v>19953</v>
      </c>
      <c r="D31" s="170">
        <v>8726</v>
      </c>
      <c r="E31" s="170">
        <v>18541</v>
      </c>
      <c r="F31" s="171">
        <v>8415</v>
      </c>
    </row>
    <row r="32" spans="1:6" ht="24" customHeight="1">
      <c r="A32" s="47" t="s">
        <v>19</v>
      </c>
      <c r="B32" s="170">
        <v>548</v>
      </c>
      <c r="C32" s="170">
        <v>19428</v>
      </c>
      <c r="D32" s="170">
        <v>10527</v>
      </c>
      <c r="E32" s="170">
        <v>18429</v>
      </c>
      <c r="F32" s="171">
        <v>10046</v>
      </c>
    </row>
    <row r="33" spans="1:6" ht="24" customHeight="1">
      <c r="A33" s="47" t="s">
        <v>119</v>
      </c>
      <c r="B33" s="170">
        <v>37</v>
      </c>
      <c r="C33" s="170">
        <v>731</v>
      </c>
      <c r="D33" s="170">
        <v>344</v>
      </c>
      <c r="E33" s="170">
        <v>528</v>
      </c>
      <c r="F33" s="171">
        <v>276</v>
      </c>
    </row>
    <row r="34" spans="1:6" ht="24" customHeight="1">
      <c r="A34" s="47" t="s">
        <v>120</v>
      </c>
      <c r="B34" s="170">
        <v>17</v>
      </c>
      <c r="C34" s="170">
        <v>1405</v>
      </c>
      <c r="D34" s="170">
        <v>1206</v>
      </c>
      <c r="E34" s="170">
        <v>1263</v>
      </c>
      <c r="F34" s="171">
        <v>1088</v>
      </c>
    </row>
    <row r="35" spans="1:6" ht="24" customHeight="1">
      <c r="A35" s="47" t="s">
        <v>121</v>
      </c>
      <c r="B35" s="170">
        <v>13</v>
      </c>
      <c r="C35" s="170">
        <v>537</v>
      </c>
      <c r="D35" s="170">
        <v>313</v>
      </c>
      <c r="E35" s="170">
        <v>494</v>
      </c>
      <c r="F35" s="171">
        <v>288</v>
      </c>
    </row>
    <row r="36" spans="1:6" ht="24" customHeight="1">
      <c r="A36" s="83" t="s">
        <v>224</v>
      </c>
      <c r="B36" s="170">
        <v>41</v>
      </c>
      <c r="C36" s="170">
        <v>1524</v>
      </c>
      <c r="D36" s="170">
        <v>621</v>
      </c>
      <c r="E36" s="170">
        <v>1365</v>
      </c>
      <c r="F36" s="171">
        <v>562</v>
      </c>
    </row>
    <row r="37" spans="1:6" ht="24" customHeight="1">
      <c r="A37" s="83" t="s">
        <v>208</v>
      </c>
      <c r="B37" s="170">
        <v>58</v>
      </c>
      <c r="C37" s="170">
        <v>1844</v>
      </c>
      <c r="D37" s="170">
        <v>974</v>
      </c>
      <c r="E37" s="170">
        <v>1758</v>
      </c>
      <c r="F37" s="171">
        <v>923</v>
      </c>
    </row>
    <row r="38" spans="1:6" ht="24" customHeight="1">
      <c r="A38" s="47" t="s">
        <v>128</v>
      </c>
      <c r="B38" s="170">
        <v>33</v>
      </c>
      <c r="C38" s="170">
        <v>1355</v>
      </c>
      <c r="D38" s="170">
        <v>625</v>
      </c>
      <c r="E38" s="170">
        <v>841</v>
      </c>
      <c r="F38" s="171">
        <v>424</v>
      </c>
    </row>
    <row r="39" spans="1:6" ht="24" customHeight="1">
      <c r="A39" s="47" t="s">
        <v>130</v>
      </c>
      <c r="B39" s="170">
        <v>24</v>
      </c>
      <c r="C39" s="170">
        <v>838</v>
      </c>
      <c r="D39" s="170">
        <v>411</v>
      </c>
      <c r="E39" s="170">
        <v>836</v>
      </c>
      <c r="F39" s="171">
        <v>411</v>
      </c>
    </row>
    <row r="40" spans="1:6" ht="24" customHeight="1">
      <c r="A40" s="47" t="s">
        <v>225</v>
      </c>
      <c r="B40" s="170">
        <v>1718</v>
      </c>
      <c r="C40" s="170">
        <v>99883</v>
      </c>
      <c r="D40" s="170">
        <v>11065</v>
      </c>
      <c r="E40" s="170">
        <v>91951</v>
      </c>
      <c r="F40" s="171">
        <v>10442</v>
      </c>
    </row>
    <row r="41" spans="1:6" ht="24" customHeight="1">
      <c r="A41" s="47" t="s">
        <v>21</v>
      </c>
      <c r="B41" s="170">
        <v>407</v>
      </c>
      <c r="C41" s="170">
        <v>16607</v>
      </c>
      <c r="D41" s="170">
        <v>8944</v>
      </c>
      <c r="E41" s="170">
        <v>15851</v>
      </c>
      <c r="F41" s="171">
        <v>8677</v>
      </c>
    </row>
    <row r="42" spans="1:6" ht="24" customHeight="1">
      <c r="A42" s="47" t="s">
        <v>226</v>
      </c>
      <c r="B42" s="170">
        <v>1204</v>
      </c>
      <c r="C42" s="170">
        <v>47391</v>
      </c>
      <c r="D42" s="170">
        <v>29996</v>
      </c>
      <c r="E42" s="170">
        <v>43550</v>
      </c>
      <c r="F42" s="171">
        <v>28247</v>
      </c>
    </row>
    <row r="43" spans="1:6" ht="24" customHeight="1">
      <c r="A43" s="47" t="s">
        <v>139</v>
      </c>
      <c r="B43" s="170">
        <v>18</v>
      </c>
      <c r="C43" s="170">
        <v>380</v>
      </c>
      <c r="D43" s="170">
        <v>161</v>
      </c>
      <c r="E43" s="170">
        <v>315</v>
      </c>
      <c r="F43" s="171">
        <v>148</v>
      </c>
    </row>
    <row r="44" spans="1:6" ht="24" customHeight="1">
      <c r="A44" s="47" t="s">
        <v>143</v>
      </c>
      <c r="B44" s="170">
        <v>18</v>
      </c>
      <c r="C44" s="170">
        <v>375</v>
      </c>
      <c r="D44" s="170">
        <v>131</v>
      </c>
      <c r="E44" s="170">
        <v>349</v>
      </c>
      <c r="F44" s="171">
        <v>131</v>
      </c>
    </row>
    <row r="45" spans="1:6" ht="24" customHeight="1">
      <c r="A45" s="83" t="s">
        <v>23</v>
      </c>
      <c r="B45" s="170">
        <v>412</v>
      </c>
      <c r="C45" s="170">
        <v>36279</v>
      </c>
      <c r="D45" s="170">
        <v>17307</v>
      </c>
      <c r="E45" s="170">
        <v>35663</v>
      </c>
      <c r="F45" s="171">
        <v>17086</v>
      </c>
    </row>
    <row r="46" spans="1:6" ht="24" customHeight="1">
      <c r="A46" s="47" t="s">
        <v>227</v>
      </c>
      <c r="B46" s="170">
        <v>66</v>
      </c>
      <c r="C46" s="170">
        <v>1536</v>
      </c>
      <c r="D46" s="170">
        <v>917</v>
      </c>
      <c r="E46" s="170">
        <v>878</v>
      </c>
      <c r="F46" s="171">
        <v>571</v>
      </c>
    </row>
    <row r="47" spans="1:6" ht="24" customHeight="1">
      <c r="A47" s="83" t="s">
        <v>228</v>
      </c>
      <c r="B47" s="170">
        <v>93</v>
      </c>
      <c r="C47" s="170">
        <v>7708</v>
      </c>
      <c r="D47" s="170">
        <v>6219</v>
      </c>
      <c r="E47" s="170">
        <v>6693</v>
      </c>
      <c r="F47" s="171">
        <v>5436</v>
      </c>
    </row>
    <row r="48" spans="1:6" ht="24" customHeight="1">
      <c r="A48" s="83" t="s">
        <v>229</v>
      </c>
      <c r="B48" s="170">
        <v>36</v>
      </c>
      <c r="C48" s="170">
        <v>1496</v>
      </c>
      <c r="D48" s="170">
        <v>1054</v>
      </c>
      <c r="E48" s="170">
        <v>1156</v>
      </c>
      <c r="F48" s="171">
        <v>861</v>
      </c>
    </row>
    <row r="49" spans="1:6" ht="24" customHeight="1">
      <c r="A49" s="47" t="s">
        <v>24</v>
      </c>
      <c r="B49" s="170">
        <v>48</v>
      </c>
      <c r="C49" s="170">
        <v>1938</v>
      </c>
      <c r="D49" s="170">
        <v>496</v>
      </c>
      <c r="E49" s="170">
        <v>785</v>
      </c>
      <c r="F49" s="171">
        <v>345</v>
      </c>
    </row>
    <row r="50" spans="1:6" ht="24" customHeight="1">
      <c r="A50" s="47" t="s">
        <v>170</v>
      </c>
      <c r="B50" s="170">
        <v>39</v>
      </c>
      <c r="C50" s="170">
        <v>1246</v>
      </c>
      <c r="D50" s="170">
        <v>476</v>
      </c>
      <c r="E50" s="170">
        <v>1135</v>
      </c>
      <c r="F50" s="171">
        <v>439</v>
      </c>
    </row>
    <row r="51" spans="1:6" ht="24" customHeight="1">
      <c r="A51" s="47" t="s">
        <v>171</v>
      </c>
      <c r="B51" s="170">
        <v>232</v>
      </c>
      <c r="C51" s="170">
        <v>10337</v>
      </c>
      <c r="D51" s="170">
        <v>2749</v>
      </c>
      <c r="E51" s="170">
        <v>7774</v>
      </c>
      <c r="F51" s="171">
        <v>2070</v>
      </c>
    </row>
    <row r="52" spans="1:6" ht="24" customHeight="1">
      <c r="A52" s="47" t="s">
        <v>172</v>
      </c>
      <c r="B52" s="170">
        <v>37</v>
      </c>
      <c r="C52" s="170">
        <v>1566</v>
      </c>
      <c r="D52" s="170">
        <v>734</v>
      </c>
      <c r="E52" s="170">
        <v>1508</v>
      </c>
      <c r="F52" s="171">
        <v>716</v>
      </c>
    </row>
    <row r="53" spans="1:6" ht="24" customHeight="1">
      <c r="A53" s="47" t="s">
        <v>1233</v>
      </c>
      <c r="B53" s="170">
        <v>32</v>
      </c>
      <c r="C53" s="170">
        <v>1876</v>
      </c>
      <c r="D53" s="170">
        <v>819</v>
      </c>
      <c r="E53" s="170">
        <v>1789</v>
      </c>
      <c r="F53" s="171">
        <v>792</v>
      </c>
    </row>
    <row r="54" spans="1:6" ht="24" customHeight="1">
      <c r="A54" s="47" t="s">
        <v>1144</v>
      </c>
      <c r="B54" s="170">
        <v>42</v>
      </c>
      <c r="C54" s="170">
        <v>2802</v>
      </c>
      <c r="D54" s="170">
        <v>1253</v>
      </c>
      <c r="E54" s="170">
        <v>2675</v>
      </c>
      <c r="F54" s="171">
        <v>1198</v>
      </c>
    </row>
    <row r="55" spans="1:6" ht="24" customHeight="1">
      <c r="A55" s="47" t="s">
        <v>173</v>
      </c>
      <c r="B55" s="170">
        <v>108</v>
      </c>
      <c r="C55" s="170">
        <v>4371</v>
      </c>
      <c r="D55" s="170">
        <v>1909</v>
      </c>
      <c r="E55" s="170">
        <v>3776</v>
      </c>
      <c r="F55" s="171">
        <v>1706</v>
      </c>
    </row>
    <row r="56" spans="1:6" ht="24" customHeight="1">
      <c r="A56" s="47" t="s">
        <v>25</v>
      </c>
      <c r="B56" s="170">
        <v>550</v>
      </c>
      <c r="C56" s="170">
        <v>13381</v>
      </c>
      <c r="D56" s="170">
        <v>4260</v>
      </c>
      <c r="E56" s="170">
        <v>10325</v>
      </c>
      <c r="F56" s="171">
        <v>3843</v>
      </c>
    </row>
    <row r="57" spans="1:6" ht="24" customHeight="1">
      <c r="A57" s="47" t="s">
        <v>175</v>
      </c>
      <c r="B57" s="170">
        <v>23</v>
      </c>
      <c r="C57" s="170">
        <v>854</v>
      </c>
      <c r="D57" s="170">
        <v>300</v>
      </c>
      <c r="E57" s="170">
        <v>522</v>
      </c>
      <c r="F57" s="171">
        <v>191</v>
      </c>
    </row>
    <row r="58" spans="1:6" ht="24" customHeight="1">
      <c r="A58" s="47" t="s">
        <v>178</v>
      </c>
      <c r="B58" s="170">
        <v>16</v>
      </c>
      <c r="C58" s="170">
        <v>827</v>
      </c>
      <c r="D58" s="170">
        <v>583</v>
      </c>
      <c r="E58" s="170">
        <v>767</v>
      </c>
      <c r="F58" s="171">
        <v>549</v>
      </c>
    </row>
    <row r="59" spans="1:6" ht="24" customHeight="1">
      <c r="A59" s="83" t="s">
        <v>212</v>
      </c>
      <c r="B59" s="170">
        <v>38</v>
      </c>
      <c r="C59" s="170">
        <v>1419</v>
      </c>
      <c r="D59" s="170">
        <v>229</v>
      </c>
      <c r="E59" s="170">
        <v>1332</v>
      </c>
      <c r="F59" s="171">
        <v>225</v>
      </c>
    </row>
    <row r="60" spans="1:6" ht="24" customHeight="1">
      <c r="A60" s="83" t="s">
        <v>213</v>
      </c>
      <c r="B60" s="170">
        <v>52</v>
      </c>
      <c r="C60" s="170">
        <v>1636</v>
      </c>
      <c r="D60" s="170">
        <v>306</v>
      </c>
      <c r="E60" s="170">
        <v>1427</v>
      </c>
      <c r="F60" s="171">
        <v>260</v>
      </c>
    </row>
    <row r="61" spans="1:6" ht="24" customHeight="1">
      <c r="A61" s="47" t="s">
        <v>230</v>
      </c>
      <c r="B61" s="170">
        <v>77</v>
      </c>
      <c r="C61" s="170">
        <v>2421</v>
      </c>
      <c r="D61" s="170">
        <v>989</v>
      </c>
      <c r="E61" s="170">
        <v>1876</v>
      </c>
      <c r="F61" s="171">
        <v>827</v>
      </c>
    </row>
    <row r="62" spans="1:6" ht="24" customHeight="1">
      <c r="A62" s="86"/>
      <c r="B62" s="55"/>
      <c r="C62" s="55"/>
      <c r="D62" s="55"/>
      <c r="E62" s="55"/>
      <c r="F62" s="55"/>
    </row>
    <row r="63" spans="1:6" s="57" customFormat="1" ht="36" customHeight="1">
      <c r="A63" s="566" t="s">
        <v>1146</v>
      </c>
      <c r="B63" s="566"/>
      <c r="C63" s="566"/>
      <c r="D63" s="566"/>
      <c r="E63" s="566"/>
      <c r="F63" s="566"/>
    </row>
    <row r="64" spans="1:6" ht="35.5" customHeight="1">
      <c r="A64" s="561" t="s">
        <v>231</v>
      </c>
      <c r="B64" s="561"/>
      <c r="C64" s="561"/>
      <c r="D64" s="561"/>
      <c r="E64" s="561"/>
      <c r="F64" s="561"/>
    </row>
  </sheetData>
  <mergeCells count="12">
    <mergeCell ref="A7:F7"/>
    <mergeCell ref="A63:F63"/>
    <mergeCell ref="A64:F64"/>
    <mergeCell ref="A1:F1"/>
    <mergeCell ref="A2:F2"/>
    <mergeCell ref="E3:F3"/>
    <mergeCell ref="A4:A6"/>
    <mergeCell ref="B4:B6"/>
    <mergeCell ref="C4:F4"/>
    <mergeCell ref="C5:C6"/>
    <mergeCell ref="D5:D6"/>
    <mergeCell ref="E5:F5"/>
  </mergeCells>
  <hyperlinks>
    <hyperlink ref="E3" location="'Spis tablic'!A4" display="Powrót do spisu treści" xr:uid="{00000000-0004-0000-0F00-000000000000}"/>
    <hyperlink ref="E3:F3" location="'Spis tablic  List of tables'!A33" display="'Spis tablic  List of tables'!A33" xr:uid="{00000000-0004-0000-0F00-000001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H21"/>
  <sheetViews>
    <sheetView zoomScaleNormal="100" workbookViewId="0">
      <pane ySplit="6" topLeftCell="A7" activePane="bottomLeft" state="frozen"/>
      <selection activeCell="F16" sqref="F16"/>
      <selection pane="bottomLeft" activeCell="E3" sqref="E3:F3"/>
    </sheetView>
  </sheetViews>
  <sheetFormatPr defaultColWidth="9.1796875" defaultRowHeight="14.5"/>
  <cols>
    <col min="1" max="1" width="24.453125" style="50" customWidth="1"/>
    <col min="2" max="6" width="12.1796875" style="50" customWidth="1"/>
    <col min="7" max="7" width="11" style="50" customWidth="1"/>
    <col min="8" max="8" width="10.453125" style="50" customWidth="1"/>
    <col min="9" max="16384" width="9.1796875" style="50"/>
  </cols>
  <sheetData>
    <row r="1" spans="1:8" s="39" customFormat="1" ht="29.5" customHeight="1">
      <c r="A1" s="545" t="s">
        <v>1177</v>
      </c>
      <c r="B1" s="545"/>
      <c r="C1" s="545"/>
      <c r="D1" s="545"/>
      <c r="E1" s="545"/>
      <c r="F1" s="545"/>
      <c r="G1" s="545"/>
    </row>
    <row r="2" spans="1:8" s="39" customFormat="1" ht="26.5" customHeight="1">
      <c r="A2" s="556" t="s">
        <v>1178</v>
      </c>
      <c r="B2" s="556"/>
      <c r="C2" s="556"/>
      <c r="D2" s="556"/>
      <c r="E2" s="556"/>
      <c r="F2" s="556"/>
      <c r="G2" s="556"/>
    </row>
    <row r="3" spans="1:8" s="39" customFormat="1" ht="26.5" customHeight="1">
      <c r="A3" s="96"/>
      <c r="B3" s="96"/>
      <c r="C3" s="96"/>
      <c r="D3" s="96"/>
      <c r="E3" s="537" t="s">
        <v>5</v>
      </c>
      <c r="F3" s="547"/>
      <c r="G3" s="96"/>
    </row>
    <row r="4" spans="1:8" s="41" customFormat="1" ht="27.75" customHeight="1">
      <c r="A4" s="548" t="s">
        <v>6</v>
      </c>
      <c r="B4" s="539" t="s">
        <v>35</v>
      </c>
      <c r="C4" s="543" t="s">
        <v>69</v>
      </c>
      <c r="D4" s="544"/>
      <c r="E4" s="544"/>
      <c r="F4" s="544"/>
    </row>
    <row r="5" spans="1:8" s="41" customFormat="1" ht="27" customHeight="1">
      <c r="A5" s="549"/>
      <c r="B5" s="551"/>
      <c r="C5" s="539" t="s">
        <v>80</v>
      </c>
      <c r="D5" s="539" t="s">
        <v>37</v>
      </c>
      <c r="E5" s="544" t="s">
        <v>81</v>
      </c>
      <c r="F5" s="544"/>
    </row>
    <row r="6" spans="1:8" s="75" customFormat="1" ht="42.75" customHeight="1">
      <c r="A6" s="550"/>
      <c r="B6" s="540"/>
      <c r="C6" s="540"/>
      <c r="D6" s="540"/>
      <c r="E6" s="44" t="s">
        <v>39</v>
      </c>
      <c r="F6" s="45" t="s">
        <v>72</v>
      </c>
      <c r="H6" s="91"/>
    </row>
    <row r="7" spans="1:8" s="41" customFormat="1" ht="40.4" customHeight="1">
      <c r="A7" s="538" t="s">
        <v>48</v>
      </c>
      <c r="B7" s="538"/>
      <c r="C7" s="538"/>
      <c r="D7" s="538"/>
      <c r="E7" s="538"/>
      <c r="F7" s="538"/>
    </row>
    <row r="8" spans="1:8" ht="24" customHeight="1">
      <c r="A8" s="46" t="s">
        <v>1179</v>
      </c>
      <c r="B8" s="182">
        <v>67</v>
      </c>
      <c r="C8" s="182">
        <v>3619</v>
      </c>
      <c r="D8" s="182">
        <v>828</v>
      </c>
      <c r="E8" s="182">
        <v>2153</v>
      </c>
      <c r="F8" s="183">
        <v>669</v>
      </c>
    </row>
    <row r="9" spans="1:8" ht="24" customHeight="1">
      <c r="A9" s="52">
        <v>2024</v>
      </c>
      <c r="B9" s="202">
        <v>116</v>
      </c>
      <c r="C9" s="202">
        <v>6021</v>
      </c>
      <c r="D9" s="202">
        <v>1858</v>
      </c>
      <c r="E9" s="202">
        <v>5135</v>
      </c>
      <c r="F9" s="203">
        <v>1653</v>
      </c>
    </row>
    <row r="10" spans="1:8" ht="22.4" customHeight="1">
      <c r="A10" s="78" t="s">
        <v>1077</v>
      </c>
      <c r="B10" s="202"/>
      <c r="C10" s="202"/>
      <c r="D10" s="202"/>
      <c r="E10" s="202"/>
      <c r="F10" s="299"/>
    </row>
    <row r="11" spans="1:8" ht="22.4" customHeight="1">
      <c r="A11" s="489" t="s">
        <v>82</v>
      </c>
      <c r="B11" s="202">
        <v>3</v>
      </c>
      <c r="C11" s="202">
        <v>333</v>
      </c>
      <c r="D11" s="204">
        <v>326</v>
      </c>
      <c r="E11" s="204">
        <v>333</v>
      </c>
      <c r="F11" s="223">
        <v>326</v>
      </c>
    </row>
    <row r="12" spans="1:8" s="57" customFormat="1" ht="24" customHeight="1">
      <c r="A12" s="47" t="s">
        <v>98</v>
      </c>
      <c r="B12" s="170">
        <v>2</v>
      </c>
      <c r="C12" s="170">
        <v>104</v>
      </c>
      <c r="D12" s="170">
        <v>53</v>
      </c>
      <c r="E12" s="170">
        <v>104</v>
      </c>
      <c r="F12" s="171">
        <v>53</v>
      </c>
      <c r="G12" s="50"/>
      <c r="H12" s="50"/>
    </row>
    <row r="13" spans="1:8" ht="24" customHeight="1">
      <c r="A13" s="47" t="s">
        <v>18</v>
      </c>
      <c r="B13" s="170">
        <v>5</v>
      </c>
      <c r="C13" s="170">
        <v>64</v>
      </c>
      <c r="D13" s="170">
        <v>16</v>
      </c>
      <c r="E13" s="170">
        <v>64</v>
      </c>
      <c r="F13" s="171">
        <v>16</v>
      </c>
    </row>
    <row r="14" spans="1:8" ht="24" customHeight="1">
      <c r="A14" s="47" t="s">
        <v>232</v>
      </c>
      <c r="B14" s="170">
        <v>31</v>
      </c>
      <c r="C14" s="170">
        <v>3240</v>
      </c>
      <c r="D14" s="170">
        <v>77</v>
      </c>
      <c r="E14" s="170">
        <v>2705</v>
      </c>
      <c r="F14" s="171">
        <v>77</v>
      </c>
    </row>
    <row r="15" spans="1:8" ht="24" customHeight="1">
      <c r="A15" s="47" t="s">
        <v>218</v>
      </c>
      <c r="B15" s="170">
        <v>33</v>
      </c>
      <c r="C15" s="170">
        <v>1304</v>
      </c>
      <c r="D15" s="170">
        <v>1036</v>
      </c>
      <c r="E15" s="170">
        <v>1147</v>
      </c>
      <c r="F15" s="171">
        <v>907</v>
      </c>
    </row>
    <row r="16" spans="1:8" ht="24" customHeight="1">
      <c r="A16" s="488" t="s">
        <v>23</v>
      </c>
      <c r="B16" s="170">
        <v>3</v>
      </c>
      <c r="C16" s="170">
        <v>245</v>
      </c>
      <c r="D16" s="170">
        <v>130</v>
      </c>
      <c r="E16" s="170">
        <v>245</v>
      </c>
      <c r="F16" s="171">
        <v>130</v>
      </c>
    </row>
    <row r="17" spans="1:7" ht="24" customHeight="1">
      <c r="A17" s="489" t="s">
        <v>171</v>
      </c>
      <c r="B17" s="170">
        <v>4</v>
      </c>
      <c r="C17" s="170">
        <v>77</v>
      </c>
      <c r="D17" s="170">
        <v>22</v>
      </c>
      <c r="E17" s="170">
        <v>55</v>
      </c>
      <c r="F17" s="171">
        <v>19</v>
      </c>
    </row>
    <row r="18" spans="1:7" ht="24" customHeight="1">
      <c r="A18" s="47" t="s">
        <v>25</v>
      </c>
      <c r="B18" s="170">
        <v>12</v>
      </c>
      <c r="C18" s="170">
        <v>217</v>
      </c>
      <c r="D18" s="170">
        <v>29</v>
      </c>
      <c r="E18" s="170">
        <v>174</v>
      </c>
      <c r="F18" s="171">
        <v>27</v>
      </c>
    </row>
    <row r="19" spans="1:7" ht="24" customHeight="1">
      <c r="A19" s="86"/>
      <c r="B19" s="55"/>
      <c r="C19" s="55"/>
      <c r="D19" s="55"/>
      <c r="E19" s="55"/>
      <c r="F19" s="55"/>
    </row>
    <row r="20" spans="1:7" s="57" customFormat="1" ht="24" customHeight="1">
      <c r="A20" s="562" t="s">
        <v>233</v>
      </c>
      <c r="B20" s="562"/>
      <c r="C20" s="562"/>
      <c r="D20" s="562"/>
      <c r="E20" s="562"/>
      <c r="F20" s="562"/>
      <c r="G20" s="562"/>
    </row>
    <row r="21" spans="1:7" ht="24" customHeight="1">
      <c r="A21" s="561" t="s">
        <v>234</v>
      </c>
      <c r="B21" s="561"/>
      <c r="C21" s="561"/>
      <c r="D21" s="561"/>
      <c r="E21" s="561"/>
      <c r="F21" s="561"/>
      <c r="G21" s="457"/>
    </row>
  </sheetData>
  <mergeCells count="12">
    <mergeCell ref="A7:F7"/>
    <mergeCell ref="A20:G20"/>
    <mergeCell ref="A21:F21"/>
    <mergeCell ref="A1:G1"/>
    <mergeCell ref="A2:G2"/>
    <mergeCell ref="E3:F3"/>
    <mergeCell ref="A4:A6"/>
    <mergeCell ref="B4:B6"/>
    <mergeCell ref="C4:F4"/>
    <mergeCell ref="C5:C6"/>
    <mergeCell ref="D5:D6"/>
    <mergeCell ref="E5:F5"/>
  </mergeCells>
  <hyperlinks>
    <hyperlink ref="E3" location="'Spis tablic'!A4" display="Powrót do spisu treści" xr:uid="{00000000-0004-0000-1000-000000000000}"/>
    <hyperlink ref="E3:F3" location="'Spis tablic  List of tables'!A35" display="'Spis tablic  List of tables'!A35" xr:uid="{00000000-0004-0000-1000-000001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/>
  <dimension ref="A1:K24"/>
  <sheetViews>
    <sheetView zoomScaleNormal="100" workbookViewId="0">
      <pane ySplit="5" topLeftCell="A6" activePane="bottomLeft" state="frozen"/>
      <selection activeCell="F16" sqref="F16"/>
      <selection pane="bottomLeft" activeCell="A10" sqref="A10"/>
    </sheetView>
  </sheetViews>
  <sheetFormatPr defaultColWidth="9.1796875" defaultRowHeight="10"/>
  <cols>
    <col min="1" max="1" width="17.81640625" style="30" customWidth="1"/>
    <col min="2" max="9" width="12.1796875" style="30" customWidth="1"/>
    <col min="10" max="16384" width="9.1796875" style="30"/>
  </cols>
  <sheetData>
    <row r="1" spans="1:11" s="39" customFormat="1" ht="26.25" customHeight="1">
      <c r="A1" s="545" t="s">
        <v>1180</v>
      </c>
      <c r="B1" s="545"/>
      <c r="C1" s="545"/>
      <c r="D1" s="545"/>
      <c r="E1" s="545"/>
      <c r="F1" s="545"/>
      <c r="G1" s="545"/>
      <c r="H1" s="545"/>
      <c r="I1" s="545"/>
    </row>
    <row r="2" spans="1:11" s="39" customFormat="1" ht="12.5">
      <c r="A2" s="556" t="s">
        <v>1181</v>
      </c>
      <c r="B2" s="556"/>
      <c r="C2" s="556"/>
      <c r="D2" s="556"/>
      <c r="E2" s="556"/>
      <c r="F2" s="556"/>
      <c r="G2" s="556"/>
      <c r="H2" s="556"/>
      <c r="I2" s="556"/>
    </row>
    <row r="3" spans="1:11" s="39" customFormat="1" ht="28.4" customHeight="1">
      <c r="B3" s="73"/>
      <c r="C3" s="102"/>
      <c r="H3" s="537" t="s">
        <v>5</v>
      </c>
      <c r="I3" s="547"/>
    </row>
    <row r="4" spans="1:11" ht="49.5" customHeight="1">
      <c r="A4" s="548" t="s">
        <v>6</v>
      </c>
      <c r="B4" s="569" t="s">
        <v>12</v>
      </c>
      <c r="C4" s="569"/>
      <c r="D4" s="569" t="s">
        <v>13</v>
      </c>
      <c r="E4" s="569"/>
      <c r="F4" s="569" t="s">
        <v>244</v>
      </c>
      <c r="G4" s="569"/>
      <c r="H4" s="569" t="s">
        <v>1120</v>
      </c>
      <c r="I4" s="567" t="s">
        <v>1135</v>
      </c>
      <c r="K4" s="101"/>
    </row>
    <row r="5" spans="1:11" ht="20">
      <c r="A5" s="550"/>
      <c r="B5" s="44" t="s">
        <v>71</v>
      </c>
      <c r="C5" s="44" t="s">
        <v>243</v>
      </c>
      <c r="D5" s="44" t="s">
        <v>71</v>
      </c>
      <c r="E5" s="44" t="s">
        <v>243</v>
      </c>
      <c r="F5" s="44" t="s">
        <v>71</v>
      </c>
      <c r="G5" s="44" t="s">
        <v>243</v>
      </c>
      <c r="H5" s="569"/>
      <c r="I5" s="568"/>
    </row>
    <row r="6" spans="1:11" ht="25.9" customHeight="1">
      <c r="A6" s="500" t="s">
        <v>1399</v>
      </c>
      <c r="B6" s="211">
        <v>33079</v>
      </c>
      <c r="C6" s="211">
        <v>4016</v>
      </c>
      <c r="D6" s="211">
        <v>18107</v>
      </c>
      <c r="E6" s="211">
        <v>4893</v>
      </c>
      <c r="F6" s="211">
        <v>7483</v>
      </c>
      <c r="G6" s="211">
        <v>1786</v>
      </c>
      <c r="H6" s="211">
        <v>2606</v>
      </c>
      <c r="I6" s="212">
        <v>9616</v>
      </c>
    </row>
    <row r="7" spans="1:11" ht="14.25" customHeight="1">
      <c r="A7" s="253">
        <v>2024</v>
      </c>
      <c r="B7" s="172">
        <v>41674</v>
      </c>
      <c r="C7" s="172">
        <v>5489</v>
      </c>
      <c r="D7" s="172">
        <v>21953</v>
      </c>
      <c r="E7" s="172">
        <v>6096</v>
      </c>
      <c r="F7" s="172">
        <v>8967</v>
      </c>
      <c r="G7" s="172">
        <v>2279</v>
      </c>
      <c r="H7" s="172">
        <v>3172</v>
      </c>
      <c r="I7" s="173">
        <v>11321</v>
      </c>
    </row>
    <row r="8" spans="1:11" ht="24" customHeight="1">
      <c r="A8" s="100" t="s">
        <v>242</v>
      </c>
      <c r="B8" s="174">
        <v>994</v>
      </c>
      <c r="C8" s="174">
        <v>219</v>
      </c>
      <c r="D8" s="174">
        <v>413</v>
      </c>
      <c r="E8" s="174">
        <v>152</v>
      </c>
      <c r="F8" s="174">
        <v>105</v>
      </c>
      <c r="G8" s="174">
        <v>21</v>
      </c>
      <c r="H8" s="174">
        <v>45</v>
      </c>
      <c r="I8" s="175">
        <v>148</v>
      </c>
    </row>
    <row r="9" spans="1:11" ht="14.25" customHeight="1">
      <c r="A9" s="99" t="s">
        <v>241</v>
      </c>
      <c r="B9" s="174">
        <v>5720</v>
      </c>
      <c r="C9" s="174">
        <v>286</v>
      </c>
      <c r="D9" s="174">
        <v>1497</v>
      </c>
      <c r="E9" s="174">
        <v>328</v>
      </c>
      <c r="F9" s="174">
        <v>1030</v>
      </c>
      <c r="G9" s="174">
        <v>123</v>
      </c>
      <c r="H9" s="174">
        <v>644</v>
      </c>
      <c r="I9" s="175">
        <v>1766</v>
      </c>
    </row>
    <row r="10" spans="1:11" ht="14.25" customHeight="1">
      <c r="A10" s="99" t="s">
        <v>240</v>
      </c>
      <c r="B10" s="174">
        <v>484</v>
      </c>
      <c r="C10" s="174">
        <v>135</v>
      </c>
      <c r="D10" s="174">
        <v>241</v>
      </c>
      <c r="E10" s="174">
        <v>91</v>
      </c>
      <c r="F10" s="174">
        <v>64</v>
      </c>
      <c r="G10" s="174">
        <v>35</v>
      </c>
      <c r="H10" s="174">
        <v>25</v>
      </c>
      <c r="I10" s="175">
        <v>76</v>
      </c>
    </row>
    <row r="11" spans="1:11" ht="14.25" customHeight="1">
      <c r="A11" s="99" t="s">
        <v>239</v>
      </c>
      <c r="B11" s="174">
        <v>9301</v>
      </c>
      <c r="C11" s="174">
        <v>1786</v>
      </c>
      <c r="D11" s="174">
        <v>6955</v>
      </c>
      <c r="E11" s="174">
        <v>2276</v>
      </c>
      <c r="F11" s="174">
        <v>2591</v>
      </c>
      <c r="G11" s="174">
        <v>959</v>
      </c>
      <c r="H11" s="174">
        <v>437</v>
      </c>
      <c r="I11" s="175">
        <v>2083</v>
      </c>
    </row>
    <row r="12" spans="1:11" ht="24" customHeight="1">
      <c r="A12" s="36" t="s">
        <v>238</v>
      </c>
      <c r="B12" s="182">
        <v>160</v>
      </c>
      <c r="C12" s="183">
        <v>37</v>
      </c>
      <c r="D12" s="182">
        <v>67</v>
      </c>
      <c r="E12" s="182">
        <v>13</v>
      </c>
      <c r="F12" s="182">
        <v>59</v>
      </c>
      <c r="G12" s="182">
        <v>17</v>
      </c>
      <c r="H12" s="182">
        <v>6</v>
      </c>
      <c r="I12" s="183">
        <v>34</v>
      </c>
    </row>
    <row r="13" spans="1:11">
      <c r="A13" s="98"/>
    </row>
    <row r="15" spans="1:11">
      <c r="B15" s="258"/>
      <c r="C15" s="258"/>
      <c r="D15" s="258"/>
      <c r="E15" s="258"/>
      <c r="F15" s="258"/>
      <c r="G15" s="258"/>
      <c r="H15" s="258"/>
      <c r="I15" s="258"/>
    </row>
    <row r="22" spans="4:8">
      <c r="D22" s="29"/>
      <c r="E22" s="29"/>
      <c r="F22" s="29"/>
      <c r="G22" s="29"/>
      <c r="H22" s="29"/>
    </row>
    <row r="23" spans="4:8">
      <c r="D23" s="29"/>
      <c r="E23" s="29"/>
      <c r="F23" s="29"/>
      <c r="G23" s="29"/>
      <c r="H23" s="29"/>
    </row>
    <row r="24" spans="4:8">
      <c r="D24" s="29"/>
      <c r="E24" s="29"/>
      <c r="F24" s="29"/>
      <c r="G24" s="29"/>
      <c r="H24" s="29"/>
    </row>
  </sheetData>
  <mergeCells count="9">
    <mergeCell ref="H3:I3"/>
    <mergeCell ref="A1:I1"/>
    <mergeCell ref="A2:I2"/>
    <mergeCell ref="I4:I5"/>
    <mergeCell ref="A4:A5"/>
    <mergeCell ref="B4:C4"/>
    <mergeCell ref="D4:E4"/>
    <mergeCell ref="F4:G4"/>
    <mergeCell ref="H4:H5"/>
  </mergeCells>
  <hyperlinks>
    <hyperlink ref="H3" location="'Spis tablic'!A4" display="Powrót do spisu treści" xr:uid="{00000000-0004-0000-1100-000000000000}"/>
    <hyperlink ref="H3:I3" location="'Spis tablic  List of tables'!A37" display="'Spis tablic  List of tables'!A37" xr:uid="{00000000-0004-0000-1100-000001000000}"/>
  </hyperlinks>
  <pageMargins left="0.7" right="0.7" top="0.75" bottom="0.75" header="0.3" footer="0.3"/>
  <pageSetup paperSize="9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/>
  <dimension ref="A1:K14"/>
  <sheetViews>
    <sheetView zoomScaleNormal="100" workbookViewId="0">
      <pane ySplit="5" topLeftCell="A6" activePane="bottomLeft" state="frozen"/>
      <selection activeCell="F16" sqref="F16"/>
      <selection pane="bottomLeft" activeCell="H3" sqref="H3:I3"/>
    </sheetView>
  </sheetViews>
  <sheetFormatPr defaultColWidth="9.1796875" defaultRowHeight="10"/>
  <cols>
    <col min="1" max="1" width="20.54296875" style="41" customWidth="1"/>
    <col min="2" max="9" width="13.1796875" style="41" customWidth="1"/>
    <col min="10" max="16384" width="9.1796875" style="41"/>
  </cols>
  <sheetData>
    <row r="1" spans="1:11" s="39" customFormat="1" ht="14.25" customHeight="1">
      <c r="A1" s="570" t="s">
        <v>1182</v>
      </c>
      <c r="B1" s="570"/>
      <c r="C1" s="570"/>
      <c r="D1" s="570"/>
      <c r="E1" s="570"/>
      <c r="F1" s="570"/>
      <c r="G1" s="570"/>
      <c r="H1" s="570"/>
      <c r="I1" s="570"/>
    </row>
    <row r="2" spans="1:11" s="39" customFormat="1" ht="12.5">
      <c r="A2" s="571" t="s">
        <v>1183</v>
      </c>
      <c r="B2" s="571"/>
      <c r="C2" s="571"/>
      <c r="D2" s="571"/>
      <c r="E2" s="571"/>
      <c r="F2" s="571"/>
      <c r="G2" s="571"/>
      <c r="H2" s="571"/>
      <c r="I2" s="571"/>
    </row>
    <row r="3" spans="1:11" s="39" customFormat="1" ht="25.4" customHeight="1">
      <c r="A3" s="104"/>
      <c r="B3" s="104"/>
      <c r="C3" s="104"/>
      <c r="D3" s="104"/>
      <c r="E3" s="104"/>
      <c r="F3" s="104"/>
      <c r="G3" s="104"/>
      <c r="H3" s="537" t="s">
        <v>5</v>
      </c>
      <c r="I3" s="547"/>
    </row>
    <row r="4" spans="1:11" ht="38.25" customHeight="1">
      <c r="A4" s="548" t="s">
        <v>245</v>
      </c>
      <c r="B4" s="569" t="s">
        <v>12</v>
      </c>
      <c r="C4" s="569"/>
      <c r="D4" s="569" t="s">
        <v>13</v>
      </c>
      <c r="E4" s="569"/>
      <c r="F4" s="569" t="s">
        <v>244</v>
      </c>
      <c r="G4" s="569"/>
      <c r="H4" s="569" t="s">
        <v>1136</v>
      </c>
      <c r="I4" s="567" t="s">
        <v>1135</v>
      </c>
    </row>
    <row r="5" spans="1:11" ht="69" customHeight="1">
      <c r="A5" s="550"/>
      <c r="B5" s="44" t="s">
        <v>71</v>
      </c>
      <c r="C5" s="44" t="s">
        <v>243</v>
      </c>
      <c r="D5" s="44" t="s">
        <v>71</v>
      </c>
      <c r="E5" s="44" t="s">
        <v>243</v>
      </c>
      <c r="F5" s="44" t="s">
        <v>71</v>
      </c>
      <c r="G5" s="44" t="s">
        <v>243</v>
      </c>
      <c r="H5" s="569"/>
      <c r="I5" s="568"/>
      <c r="K5" s="48"/>
    </row>
    <row r="6" spans="1:11" ht="24" customHeight="1">
      <c r="A6" s="88" t="s">
        <v>1184</v>
      </c>
      <c r="B6" s="213">
        <v>33079</v>
      </c>
      <c r="C6" s="213">
        <v>4016</v>
      </c>
      <c r="D6" s="213">
        <v>18107</v>
      </c>
      <c r="E6" s="213">
        <v>4893</v>
      </c>
      <c r="F6" s="213">
        <v>7483</v>
      </c>
      <c r="G6" s="213">
        <v>1786</v>
      </c>
      <c r="H6" s="213">
        <v>2606</v>
      </c>
      <c r="I6" s="214">
        <v>9616</v>
      </c>
    </row>
    <row r="7" spans="1:11" ht="24" customHeight="1">
      <c r="A7" s="251">
        <v>2024</v>
      </c>
      <c r="B7" s="215">
        <v>41674</v>
      </c>
      <c r="C7" s="215">
        <v>5489</v>
      </c>
      <c r="D7" s="215">
        <v>21953</v>
      </c>
      <c r="E7" s="215">
        <v>6096</v>
      </c>
      <c r="F7" s="215">
        <v>8967</v>
      </c>
      <c r="G7" s="215">
        <v>2279</v>
      </c>
      <c r="H7" s="215">
        <v>3172</v>
      </c>
      <c r="I7" s="216">
        <v>11321</v>
      </c>
    </row>
    <row r="8" spans="1:11" ht="24" customHeight="1">
      <c r="A8" s="54" t="s">
        <v>41</v>
      </c>
      <c r="B8" s="217">
        <v>2959</v>
      </c>
      <c r="C8" s="217">
        <v>332</v>
      </c>
      <c r="D8" s="217">
        <v>1603</v>
      </c>
      <c r="E8" s="217">
        <v>425</v>
      </c>
      <c r="F8" s="217">
        <v>655</v>
      </c>
      <c r="G8" s="217">
        <v>155</v>
      </c>
      <c r="H8" s="217">
        <v>250</v>
      </c>
      <c r="I8" s="218">
        <v>820</v>
      </c>
    </row>
    <row r="9" spans="1:11" ht="24" customHeight="1">
      <c r="A9" s="54" t="s">
        <v>42</v>
      </c>
      <c r="B9" s="217">
        <v>5752</v>
      </c>
      <c r="C9" s="217">
        <v>876</v>
      </c>
      <c r="D9" s="217">
        <v>3527</v>
      </c>
      <c r="E9" s="217">
        <v>1071</v>
      </c>
      <c r="F9" s="217">
        <v>1319</v>
      </c>
      <c r="G9" s="217">
        <v>391</v>
      </c>
      <c r="H9" s="217">
        <v>436</v>
      </c>
      <c r="I9" s="218">
        <v>1413</v>
      </c>
    </row>
    <row r="10" spans="1:11" ht="24" customHeight="1">
      <c r="A10" s="54" t="s">
        <v>43</v>
      </c>
      <c r="B10" s="217">
        <v>9140</v>
      </c>
      <c r="C10" s="217">
        <v>1229</v>
      </c>
      <c r="D10" s="217">
        <v>4260</v>
      </c>
      <c r="E10" s="217">
        <v>1246</v>
      </c>
      <c r="F10" s="217">
        <v>1778</v>
      </c>
      <c r="G10" s="217">
        <v>470</v>
      </c>
      <c r="H10" s="217">
        <v>646</v>
      </c>
      <c r="I10" s="218">
        <v>2295</v>
      </c>
    </row>
    <row r="11" spans="1:11" ht="24" customHeight="1">
      <c r="A11" s="54" t="s">
        <v>44</v>
      </c>
      <c r="B11" s="217">
        <v>5421</v>
      </c>
      <c r="C11" s="217">
        <v>512</v>
      </c>
      <c r="D11" s="217">
        <v>3154</v>
      </c>
      <c r="E11" s="217">
        <v>796</v>
      </c>
      <c r="F11" s="217">
        <v>1308</v>
      </c>
      <c r="G11" s="217">
        <v>350</v>
      </c>
      <c r="H11" s="217">
        <v>598</v>
      </c>
      <c r="I11" s="218">
        <v>1596</v>
      </c>
    </row>
    <row r="12" spans="1:11" ht="24" customHeight="1">
      <c r="A12" s="54" t="s">
        <v>45</v>
      </c>
      <c r="B12" s="217">
        <v>7228</v>
      </c>
      <c r="C12" s="217">
        <v>994</v>
      </c>
      <c r="D12" s="217">
        <v>3936</v>
      </c>
      <c r="E12" s="217">
        <v>1092</v>
      </c>
      <c r="F12" s="217">
        <v>1654</v>
      </c>
      <c r="G12" s="217">
        <v>374</v>
      </c>
      <c r="H12" s="217">
        <v>524</v>
      </c>
      <c r="I12" s="218">
        <v>1949</v>
      </c>
    </row>
    <row r="13" spans="1:11" ht="24" customHeight="1">
      <c r="A13" s="54" t="s">
        <v>46</v>
      </c>
      <c r="B13" s="217">
        <v>4925</v>
      </c>
      <c r="C13" s="217">
        <v>640</v>
      </c>
      <c r="D13" s="217">
        <v>2122</v>
      </c>
      <c r="E13" s="217">
        <v>596</v>
      </c>
      <c r="F13" s="217">
        <v>904</v>
      </c>
      <c r="G13" s="217">
        <v>201</v>
      </c>
      <c r="H13" s="217">
        <v>297</v>
      </c>
      <c r="I13" s="218">
        <v>1442</v>
      </c>
    </row>
    <row r="14" spans="1:11" ht="24" customHeight="1">
      <c r="A14" s="54" t="s">
        <v>47</v>
      </c>
      <c r="B14" s="217">
        <v>6249</v>
      </c>
      <c r="C14" s="217">
        <v>906</v>
      </c>
      <c r="D14" s="217">
        <v>3351</v>
      </c>
      <c r="E14" s="217">
        <v>870</v>
      </c>
      <c r="F14" s="217">
        <v>1349</v>
      </c>
      <c r="G14" s="217">
        <v>338</v>
      </c>
      <c r="H14" s="217">
        <v>421</v>
      </c>
      <c r="I14" s="218">
        <v>1806</v>
      </c>
    </row>
  </sheetData>
  <mergeCells count="9">
    <mergeCell ref="A1:I1"/>
    <mergeCell ref="A2:I2"/>
    <mergeCell ref="I4:I5"/>
    <mergeCell ref="A4:A5"/>
    <mergeCell ref="B4:C4"/>
    <mergeCell ref="D4:E4"/>
    <mergeCell ref="F4:G4"/>
    <mergeCell ref="H4:H5"/>
    <mergeCell ref="H3:I3"/>
  </mergeCells>
  <hyperlinks>
    <hyperlink ref="H3" location="'Spis tablic'!A4" display="Powrót do spisu treści" xr:uid="{00000000-0004-0000-1200-000000000000}"/>
    <hyperlink ref="H3:I3" location="'Spis tablic  List of tables'!A39" display="'Spis tablic  List of tables'!A39" xr:uid="{00000000-0004-0000-1200-000001000000}"/>
  </hyperlinks>
  <pageMargins left="0.7" right="0.7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G12"/>
  <sheetViews>
    <sheetView workbookViewId="0">
      <selection activeCell="J15" sqref="J15"/>
    </sheetView>
  </sheetViews>
  <sheetFormatPr defaultRowHeight="14.5"/>
  <cols>
    <col min="1" max="1" width="12.54296875" customWidth="1"/>
    <col min="2" max="2" width="18.453125" customWidth="1"/>
  </cols>
  <sheetData>
    <row r="1" spans="1:7">
      <c r="A1" s="97" t="s">
        <v>1079</v>
      </c>
      <c r="B1" s="300" t="s">
        <v>1080</v>
      </c>
    </row>
    <row r="2" spans="1:7">
      <c r="A2" s="301" t="s">
        <v>1079</v>
      </c>
      <c r="B2" s="302" t="s">
        <v>1081</v>
      </c>
    </row>
    <row r="3" spans="1:7">
      <c r="A3" s="97"/>
      <c r="B3" s="300"/>
    </row>
    <row r="4" spans="1:7" s="304" customFormat="1">
      <c r="A4" s="71" t="s">
        <v>1082</v>
      </c>
      <c r="B4" s="303" t="s">
        <v>1083</v>
      </c>
    </row>
    <row r="5" spans="1:7">
      <c r="A5" s="305" t="s">
        <v>1084</v>
      </c>
      <c r="B5" s="306" t="s">
        <v>1085</v>
      </c>
    </row>
    <row r="6" spans="1:7">
      <c r="A6" s="39" t="s">
        <v>1113</v>
      </c>
      <c r="B6" s="313" t="s">
        <v>1114</v>
      </c>
      <c r="C6" s="50"/>
      <c r="D6" s="50"/>
      <c r="E6" s="50"/>
      <c r="F6" s="50"/>
      <c r="G6" s="138"/>
    </row>
    <row r="7" spans="1:7">
      <c r="A7" s="311" t="s">
        <v>1116</v>
      </c>
      <c r="B7" s="312" t="s">
        <v>1115</v>
      </c>
      <c r="C7" s="138"/>
      <c r="D7" s="138"/>
      <c r="E7" s="138"/>
      <c r="F7" s="138"/>
      <c r="G7" s="138"/>
    </row>
    <row r="8" spans="1:7">
      <c r="A8" s="71" t="s">
        <v>1086</v>
      </c>
      <c r="B8" s="303" t="s">
        <v>1087</v>
      </c>
    </row>
    <row r="9" spans="1:7" s="304" customFormat="1">
      <c r="A9" s="305" t="s">
        <v>1088</v>
      </c>
      <c r="B9" s="306" t="s">
        <v>1089</v>
      </c>
    </row>
    <row r="11" spans="1:7">
      <c r="A11" s="71" t="s">
        <v>1090</v>
      </c>
    </row>
    <row r="12" spans="1:7" s="304" customFormat="1">
      <c r="A12" s="458" t="s">
        <v>1091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/>
  <dimension ref="A1:N44"/>
  <sheetViews>
    <sheetView zoomScaleNormal="100" workbookViewId="0">
      <pane ySplit="5" topLeftCell="A6" activePane="bottomLeft" state="frozen"/>
      <selection activeCell="F16" sqref="F16"/>
      <selection pane="bottomLeft" activeCell="F3" sqref="F3:G3"/>
    </sheetView>
  </sheetViews>
  <sheetFormatPr defaultColWidth="9.1796875" defaultRowHeight="14.5"/>
  <cols>
    <col min="1" max="1" width="20.54296875" style="50" customWidth="1"/>
    <col min="2" max="2" width="11.54296875" style="50" customWidth="1"/>
    <col min="3" max="3" width="12.1796875" style="50" customWidth="1"/>
    <col min="4" max="4" width="11.1796875" style="50" customWidth="1"/>
    <col min="5" max="5" width="12.1796875" style="50" customWidth="1"/>
    <col min="6" max="6" width="11.1796875" style="50" customWidth="1"/>
    <col min="7" max="7" width="12.1796875" style="50" customWidth="1"/>
    <col min="8" max="16384" width="9.1796875" style="50"/>
  </cols>
  <sheetData>
    <row r="1" spans="1:14" s="39" customFormat="1" ht="24" customHeight="1">
      <c r="A1" s="545" t="s">
        <v>1185</v>
      </c>
      <c r="B1" s="545"/>
      <c r="C1" s="545"/>
      <c r="D1" s="545"/>
      <c r="E1" s="545"/>
      <c r="F1" s="545"/>
      <c r="G1" s="545"/>
    </row>
    <row r="2" spans="1:14" s="39" customFormat="1" ht="16.5" customHeight="1">
      <c r="A2" s="572" t="s">
        <v>1186</v>
      </c>
      <c r="B2" s="572"/>
      <c r="C2" s="572"/>
      <c r="D2" s="572"/>
      <c r="E2" s="572"/>
      <c r="F2" s="572"/>
      <c r="G2" s="572"/>
    </row>
    <row r="3" spans="1:14" s="39" customFormat="1" ht="29.5" customHeight="1">
      <c r="A3" s="105"/>
      <c r="B3" s="105"/>
      <c r="C3" s="105"/>
      <c r="D3" s="105"/>
      <c r="E3" s="105"/>
      <c r="F3" s="537" t="s">
        <v>5</v>
      </c>
      <c r="G3" s="547"/>
    </row>
    <row r="4" spans="1:14" ht="50.25" customHeight="1">
      <c r="A4" s="573" t="s">
        <v>246</v>
      </c>
      <c r="B4" s="569" t="s">
        <v>12</v>
      </c>
      <c r="C4" s="569"/>
      <c r="D4" s="569" t="s">
        <v>13</v>
      </c>
      <c r="E4" s="569"/>
      <c r="F4" s="569" t="s">
        <v>244</v>
      </c>
      <c r="G4" s="543"/>
      <c r="I4" s="48"/>
    </row>
    <row r="5" spans="1:14" ht="20">
      <c r="A5" s="573"/>
      <c r="B5" s="44" t="s">
        <v>71</v>
      </c>
      <c r="C5" s="44" t="s">
        <v>243</v>
      </c>
      <c r="D5" s="44" t="s">
        <v>71</v>
      </c>
      <c r="E5" s="44" t="s">
        <v>243</v>
      </c>
      <c r="F5" s="44" t="s">
        <v>71</v>
      </c>
      <c r="G5" s="45" t="s">
        <v>243</v>
      </c>
    </row>
    <row r="6" spans="1:14" ht="35.5" customHeight="1">
      <c r="A6" s="538" t="s">
        <v>48</v>
      </c>
      <c r="B6" s="552"/>
      <c r="C6" s="552"/>
      <c r="D6" s="552"/>
      <c r="E6" s="552"/>
      <c r="F6" s="552"/>
      <c r="G6" s="552"/>
    </row>
    <row r="7" spans="1:14" ht="20.5">
      <c r="A7" s="88" t="s">
        <v>1184</v>
      </c>
      <c r="B7" s="170">
        <v>33079</v>
      </c>
      <c r="C7" s="170">
        <v>4016</v>
      </c>
      <c r="D7" s="170">
        <v>18107</v>
      </c>
      <c r="E7" s="170">
        <v>4893</v>
      </c>
      <c r="F7" s="170">
        <v>7483</v>
      </c>
      <c r="G7" s="171">
        <v>1786</v>
      </c>
    </row>
    <row r="8" spans="1:14" ht="14.25" customHeight="1">
      <c r="A8" s="251">
        <v>2024</v>
      </c>
      <c r="B8" s="219">
        <v>41674</v>
      </c>
      <c r="C8" s="219">
        <v>5489</v>
      </c>
      <c r="D8" s="219">
        <v>21953</v>
      </c>
      <c r="E8" s="219">
        <v>6096</v>
      </c>
      <c r="F8" s="219">
        <v>8967</v>
      </c>
      <c r="G8" s="220">
        <v>2279</v>
      </c>
      <c r="I8" s="480"/>
      <c r="J8" s="480"/>
      <c r="K8" s="480"/>
      <c r="L8" s="480"/>
      <c r="M8" s="480"/>
      <c r="N8" s="480"/>
    </row>
    <row r="9" spans="1:14" ht="14.25" customHeight="1">
      <c r="A9" s="54" t="s">
        <v>49</v>
      </c>
      <c r="B9" s="182">
        <v>3580</v>
      </c>
      <c r="C9" s="182">
        <v>484</v>
      </c>
      <c r="D9" s="182">
        <v>1708</v>
      </c>
      <c r="E9" s="182">
        <v>465</v>
      </c>
      <c r="F9" s="182">
        <v>716</v>
      </c>
      <c r="G9" s="183">
        <v>156</v>
      </c>
    </row>
    <row r="10" spans="1:14" ht="14.25" customHeight="1">
      <c r="A10" s="54" t="s">
        <v>50</v>
      </c>
      <c r="B10" s="182">
        <v>2017</v>
      </c>
      <c r="C10" s="182">
        <v>250</v>
      </c>
      <c r="D10" s="182">
        <v>1230</v>
      </c>
      <c r="E10" s="182">
        <v>315</v>
      </c>
      <c r="F10" s="182">
        <v>396</v>
      </c>
      <c r="G10" s="183">
        <v>101</v>
      </c>
    </row>
    <row r="11" spans="1:14" ht="14.25" customHeight="1">
      <c r="A11" s="54" t="s">
        <v>51</v>
      </c>
      <c r="B11" s="182">
        <v>1734</v>
      </c>
      <c r="C11" s="182">
        <v>169</v>
      </c>
      <c r="D11" s="182">
        <v>1156</v>
      </c>
      <c r="E11" s="182">
        <v>252</v>
      </c>
      <c r="F11" s="182">
        <v>481</v>
      </c>
      <c r="G11" s="183">
        <v>132</v>
      </c>
    </row>
    <row r="12" spans="1:14" ht="14.25" customHeight="1">
      <c r="A12" s="54" t="s">
        <v>52</v>
      </c>
      <c r="B12" s="182">
        <v>1067</v>
      </c>
      <c r="C12" s="182">
        <v>109</v>
      </c>
      <c r="D12" s="182">
        <v>583</v>
      </c>
      <c r="E12" s="182">
        <v>152</v>
      </c>
      <c r="F12" s="182">
        <v>292</v>
      </c>
      <c r="G12" s="183">
        <v>61</v>
      </c>
    </row>
    <row r="13" spans="1:14" ht="14.25" customHeight="1">
      <c r="A13" s="54" t="s">
        <v>53</v>
      </c>
      <c r="B13" s="182">
        <v>2041</v>
      </c>
      <c r="C13" s="182">
        <v>243</v>
      </c>
      <c r="D13" s="182">
        <v>1058</v>
      </c>
      <c r="E13" s="182">
        <v>307</v>
      </c>
      <c r="F13" s="182">
        <v>484</v>
      </c>
      <c r="G13" s="183">
        <v>115</v>
      </c>
    </row>
    <row r="14" spans="1:14" ht="14.25" customHeight="1">
      <c r="A14" s="54" t="s">
        <v>54</v>
      </c>
      <c r="B14" s="182">
        <v>4153</v>
      </c>
      <c r="C14" s="182">
        <v>546</v>
      </c>
      <c r="D14" s="182">
        <v>1986</v>
      </c>
      <c r="E14" s="182">
        <v>600</v>
      </c>
      <c r="F14" s="182">
        <v>737</v>
      </c>
      <c r="G14" s="183">
        <v>217</v>
      </c>
    </row>
    <row r="15" spans="1:14" ht="14.25" customHeight="1">
      <c r="A15" s="56" t="s">
        <v>55</v>
      </c>
      <c r="B15" s="182">
        <v>5752</v>
      </c>
      <c r="C15" s="182">
        <v>876</v>
      </c>
      <c r="D15" s="182">
        <v>3527</v>
      </c>
      <c r="E15" s="182">
        <v>1071</v>
      </c>
      <c r="F15" s="182">
        <v>1319</v>
      </c>
      <c r="G15" s="183">
        <v>391</v>
      </c>
    </row>
    <row r="16" spans="1:14" ht="14.25" customHeight="1">
      <c r="A16" s="56" t="s">
        <v>56</v>
      </c>
      <c r="B16" s="182">
        <v>1345</v>
      </c>
      <c r="C16" s="182">
        <v>156</v>
      </c>
      <c r="D16" s="182">
        <v>414</v>
      </c>
      <c r="E16" s="182">
        <v>131</v>
      </c>
      <c r="F16" s="182">
        <v>188</v>
      </c>
      <c r="G16" s="183">
        <v>45</v>
      </c>
    </row>
    <row r="17" spans="1:9" ht="14.25" customHeight="1">
      <c r="A17" s="56" t="s">
        <v>57</v>
      </c>
      <c r="B17" s="182">
        <v>2682</v>
      </c>
      <c r="C17" s="182">
        <v>203</v>
      </c>
      <c r="D17" s="182">
        <v>1340</v>
      </c>
      <c r="E17" s="182">
        <v>350</v>
      </c>
      <c r="F17" s="182">
        <v>597</v>
      </c>
      <c r="G17" s="183">
        <v>159</v>
      </c>
      <c r="H17" s="41"/>
    </row>
    <row r="18" spans="1:9" ht="14.25" customHeight="1">
      <c r="A18" s="56" t="s">
        <v>58</v>
      </c>
      <c r="B18" s="182">
        <v>1005</v>
      </c>
      <c r="C18" s="182">
        <v>140</v>
      </c>
      <c r="D18" s="182">
        <v>658</v>
      </c>
      <c r="E18" s="182">
        <v>194</v>
      </c>
      <c r="F18" s="182">
        <v>230</v>
      </c>
      <c r="G18" s="183">
        <v>59</v>
      </c>
      <c r="H18" s="41"/>
    </row>
    <row r="19" spans="1:9" ht="14.25" customHeight="1">
      <c r="A19" s="56" t="s">
        <v>59</v>
      </c>
      <c r="B19" s="182">
        <v>3047</v>
      </c>
      <c r="C19" s="182">
        <v>521</v>
      </c>
      <c r="D19" s="182">
        <v>1408</v>
      </c>
      <c r="E19" s="182">
        <v>396</v>
      </c>
      <c r="F19" s="182">
        <v>665</v>
      </c>
      <c r="G19" s="183">
        <v>163</v>
      </c>
      <c r="H19" s="41"/>
    </row>
    <row r="20" spans="1:9" ht="14.25" customHeight="1">
      <c r="A20" s="56" t="s">
        <v>60</v>
      </c>
      <c r="B20" s="182">
        <v>4987</v>
      </c>
      <c r="C20" s="182">
        <v>683</v>
      </c>
      <c r="D20" s="182">
        <v>2274</v>
      </c>
      <c r="E20" s="182">
        <v>646</v>
      </c>
      <c r="F20" s="182">
        <v>1041</v>
      </c>
      <c r="G20" s="183">
        <v>253</v>
      </c>
      <c r="H20" s="41"/>
    </row>
    <row r="21" spans="1:9" ht="14.25" customHeight="1">
      <c r="A21" s="56" t="s">
        <v>61</v>
      </c>
      <c r="B21" s="182">
        <v>918</v>
      </c>
      <c r="C21" s="182">
        <v>89</v>
      </c>
      <c r="D21" s="182">
        <v>545</v>
      </c>
      <c r="E21" s="182">
        <v>118</v>
      </c>
      <c r="F21" s="182">
        <v>171</v>
      </c>
      <c r="G21" s="183">
        <v>40</v>
      </c>
      <c r="H21" s="41"/>
    </row>
    <row r="22" spans="1:9" ht="14.25" customHeight="1">
      <c r="A22" s="56" t="s">
        <v>62</v>
      </c>
      <c r="B22" s="182">
        <v>1185</v>
      </c>
      <c r="C22" s="182">
        <v>135</v>
      </c>
      <c r="D22" s="182">
        <v>713</v>
      </c>
      <c r="E22" s="182">
        <v>159</v>
      </c>
      <c r="F22" s="182">
        <v>288</v>
      </c>
      <c r="G22" s="183">
        <v>74</v>
      </c>
      <c r="H22" s="41"/>
    </row>
    <row r="23" spans="1:9" ht="14.25" customHeight="1">
      <c r="A23" s="56" t="s">
        <v>63</v>
      </c>
      <c r="B23" s="182">
        <v>4013</v>
      </c>
      <c r="C23" s="182">
        <v>593</v>
      </c>
      <c r="D23" s="182">
        <v>2099</v>
      </c>
      <c r="E23" s="182">
        <v>543</v>
      </c>
      <c r="F23" s="182">
        <v>876</v>
      </c>
      <c r="G23" s="183">
        <v>187</v>
      </c>
      <c r="H23" s="41"/>
    </row>
    <row r="24" spans="1:9" ht="14.25" customHeight="1">
      <c r="A24" s="56" t="s">
        <v>64</v>
      </c>
      <c r="B24" s="182">
        <v>2148</v>
      </c>
      <c r="C24" s="182">
        <v>292</v>
      </c>
      <c r="D24" s="182">
        <v>1254</v>
      </c>
      <c r="E24" s="182">
        <v>397</v>
      </c>
      <c r="F24" s="182">
        <v>486</v>
      </c>
      <c r="G24" s="183">
        <v>126</v>
      </c>
      <c r="H24" s="41"/>
    </row>
    <row r="25" spans="1:9" ht="36" customHeight="1">
      <c r="A25" s="553" t="s">
        <v>65</v>
      </c>
      <c r="B25" s="553"/>
      <c r="C25" s="553"/>
      <c r="D25" s="553"/>
      <c r="E25" s="553"/>
      <c r="F25" s="553"/>
      <c r="G25" s="553"/>
      <c r="I25" s="48"/>
    </row>
    <row r="26" spans="1:9" ht="20.5">
      <c r="A26" s="88" t="s">
        <v>1184</v>
      </c>
      <c r="B26" s="182">
        <v>20228</v>
      </c>
      <c r="C26" s="182">
        <v>2968</v>
      </c>
      <c r="D26" s="182">
        <v>11284</v>
      </c>
      <c r="E26" s="182">
        <v>3111</v>
      </c>
      <c r="F26" s="182">
        <v>4037</v>
      </c>
      <c r="G26" s="183">
        <v>940</v>
      </c>
    </row>
    <row r="27" spans="1:9" ht="14.25" customHeight="1">
      <c r="A27" s="251">
        <v>2024</v>
      </c>
      <c r="B27" s="219">
        <v>24965</v>
      </c>
      <c r="C27" s="219">
        <v>3992</v>
      </c>
      <c r="D27" s="219">
        <v>14127</v>
      </c>
      <c r="E27" s="219">
        <v>4033</v>
      </c>
      <c r="F27" s="219">
        <v>4783</v>
      </c>
      <c r="G27" s="220">
        <v>1273</v>
      </c>
    </row>
    <row r="28" spans="1:9" ht="14.25" customHeight="1">
      <c r="A28" s="54" t="s">
        <v>49</v>
      </c>
      <c r="B28" s="182">
        <v>2125</v>
      </c>
      <c r="C28" s="182">
        <v>358</v>
      </c>
      <c r="D28" s="182">
        <v>1128</v>
      </c>
      <c r="E28" s="182">
        <v>308</v>
      </c>
      <c r="F28" s="182">
        <v>465</v>
      </c>
      <c r="G28" s="183">
        <v>106</v>
      </c>
    </row>
    <row r="29" spans="1:9" ht="14.25" customHeight="1">
      <c r="A29" s="54" t="s">
        <v>50</v>
      </c>
      <c r="B29" s="182">
        <v>1190</v>
      </c>
      <c r="C29" s="182">
        <v>168</v>
      </c>
      <c r="D29" s="182">
        <v>858</v>
      </c>
      <c r="E29" s="182">
        <v>228</v>
      </c>
      <c r="F29" s="182">
        <v>216</v>
      </c>
      <c r="G29" s="183">
        <v>56</v>
      </c>
    </row>
    <row r="30" spans="1:9" ht="14.25" customHeight="1">
      <c r="A30" s="54" t="s">
        <v>51</v>
      </c>
      <c r="B30" s="182">
        <v>1077</v>
      </c>
      <c r="C30" s="182">
        <v>136</v>
      </c>
      <c r="D30" s="182">
        <v>732</v>
      </c>
      <c r="E30" s="182">
        <v>164</v>
      </c>
      <c r="F30" s="182">
        <v>241</v>
      </c>
      <c r="G30" s="183">
        <v>63</v>
      </c>
    </row>
    <row r="31" spans="1:9" ht="14.25" customHeight="1">
      <c r="A31" s="54" t="s">
        <v>52</v>
      </c>
      <c r="B31" s="182">
        <v>674</v>
      </c>
      <c r="C31" s="182">
        <v>87</v>
      </c>
      <c r="D31" s="182">
        <v>407</v>
      </c>
      <c r="E31" s="182">
        <v>114</v>
      </c>
      <c r="F31" s="182">
        <v>146</v>
      </c>
      <c r="G31" s="183">
        <v>42</v>
      </c>
    </row>
    <row r="32" spans="1:9" ht="14.25" customHeight="1">
      <c r="A32" s="54" t="s">
        <v>53</v>
      </c>
      <c r="B32" s="182">
        <v>1279</v>
      </c>
      <c r="C32" s="182">
        <v>187</v>
      </c>
      <c r="D32" s="182">
        <v>694</v>
      </c>
      <c r="E32" s="182">
        <v>205</v>
      </c>
      <c r="F32" s="182">
        <v>232</v>
      </c>
      <c r="G32" s="183">
        <v>52</v>
      </c>
    </row>
    <row r="33" spans="1:8" ht="14.25" customHeight="1">
      <c r="A33" s="54" t="s">
        <v>54</v>
      </c>
      <c r="B33" s="182">
        <v>2281</v>
      </c>
      <c r="C33" s="182">
        <v>381</v>
      </c>
      <c r="D33" s="182">
        <v>1240</v>
      </c>
      <c r="E33" s="182">
        <v>375</v>
      </c>
      <c r="F33" s="182">
        <v>407</v>
      </c>
      <c r="G33" s="183">
        <v>129</v>
      </c>
    </row>
    <row r="34" spans="1:8" ht="14.25" customHeight="1">
      <c r="A34" s="56" t="s">
        <v>55</v>
      </c>
      <c r="B34" s="182">
        <v>3449</v>
      </c>
      <c r="C34" s="182">
        <v>612</v>
      </c>
      <c r="D34" s="182">
        <v>2371</v>
      </c>
      <c r="E34" s="182">
        <v>736</v>
      </c>
      <c r="F34" s="182">
        <v>741</v>
      </c>
      <c r="G34" s="183">
        <v>221</v>
      </c>
      <c r="H34" s="41"/>
    </row>
    <row r="35" spans="1:8" ht="14.25" customHeight="1">
      <c r="A35" s="56" t="s">
        <v>56</v>
      </c>
      <c r="B35" s="182">
        <v>688</v>
      </c>
      <c r="C35" s="182">
        <v>116</v>
      </c>
      <c r="D35" s="182">
        <v>274</v>
      </c>
      <c r="E35" s="182">
        <v>97</v>
      </c>
      <c r="F35" s="182">
        <v>87</v>
      </c>
      <c r="G35" s="183">
        <v>23</v>
      </c>
      <c r="H35" s="41"/>
    </row>
    <row r="36" spans="1:8" ht="14.25" customHeight="1">
      <c r="A36" s="56" t="s">
        <v>57</v>
      </c>
      <c r="B36" s="182">
        <v>1266</v>
      </c>
      <c r="C36" s="182">
        <v>126</v>
      </c>
      <c r="D36" s="182">
        <v>661</v>
      </c>
      <c r="E36" s="182">
        <v>173</v>
      </c>
      <c r="F36" s="182">
        <v>253</v>
      </c>
      <c r="G36" s="183">
        <v>75</v>
      </c>
      <c r="H36" s="41"/>
    </row>
    <row r="37" spans="1:8" ht="14.25" customHeight="1">
      <c r="A37" s="56" t="s">
        <v>58</v>
      </c>
      <c r="B37" s="182">
        <v>668</v>
      </c>
      <c r="C37" s="182">
        <v>118</v>
      </c>
      <c r="D37" s="182">
        <v>418</v>
      </c>
      <c r="E37" s="182">
        <v>136</v>
      </c>
      <c r="F37" s="182">
        <v>130</v>
      </c>
      <c r="G37" s="183">
        <v>35</v>
      </c>
      <c r="H37" s="41"/>
    </row>
    <row r="38" spans="1:8" ht="14.25" customHeight="1">
      <c r="A38" s="56" t="s">
        <v>59</v>
      </c>
      <c r="B38" s="182">
        <v>2003</v>
      </c>
      <c r="C38" s="182">
        <v>379</v>
      </c>
      <c r="D38" s="182">
        <v>904</v>
      </c>
      <c r="E38" s="182">
        <v>264</v>
      </c>
      <c r="F38" s="182">
        <v>305</v>
      </c>
      <c r="G38" s="183">
        <v>89</v>
      </c>
      <c r="H38" s="41"/>
    </row>
    <row r="39" spans="1:8" ht="14.25" customHeight="1">
      <c r="A39" s="56" t="s">
        <v>60</v>
      </c>
      <c r="B39" s="182">
        <v>3099</v>
      </c>
      <c r="C39" s="182">
        <v>516</v>
      </c>
      <c r="D39" s="182">
        <v>1535</v>
      </c>
      <c r="E39" s="182">
        <v>431</v>
      </c>
      <c r="F39" s="182">
        <v>577</v>
      </c>
      <c r="G39" s="183">
        <v>141</v>
      </c>
      <c r="H39" s="41"/>
    </row>
    <row r="40" spans="1:8" ht="14.25" customHeight="1">
      <c r="A40" s="56" t="s">
        <v>61</v>
      </c>
      <c r="B40" s="182">
        <v>491</v>
      </c>
      <c r="C40" s="182">
        <v>66</v>
      </c>
      <c r="D40" s="182">
        <v>293</v>
      </c>
      <c r="E40" s="182">
        <v>64</v>
      </c>
      <c r="F40" s="182">
        <v>121</v>
      </c>
      <c r="G40" s="183">
        <v>27</v>
      </c>
      <c r="H40" s="41"/>
    </row>
    <row r="41" spans="1:8" ht="14.25" customHeight="1">
      <c r="A41" s="56" t="s">
        <v>62</v>
      </c>
      <c r="B41" s="182">
        <v>779</v>
      </c>
      <c r="C41" s="182">
        <v>107</v>
      </c>
      <c r="D41" s="182">
        <v>476</v>
      </c>
      <c r="E41" s="182">
        <v>104</v>
      </c>
      <c r="F41" s="182">
        <v>159</v>
      </c>
      <c r="G41" s="183">
        <v>36</v>
      </c>
      <c r="H41" s="41"/>
    </row>
    <row r="42" spans="1:8" ht="14.25" customHeight="1">
      <c r="A42" s="56" t="s">
        <v>63</v>
      </c>
      <c r="B42" s="182">
        <v>2591</v>
      </c>
      <c r="C42" s="182">
        <v>434</v>
      </c>
      <c r="D42" s="182">
        <v>1354</v>
      </c>
      <c r="E42" s="182">
        <v>386</v>
      </c>
      <c r="F42" s="182">
        <v>461</v>
      </c>
      <c r="G42" s="183">
        <v>116</v>
      </c>
      <c r="H42" s="41"/>
    </row>
    <row r="43" spans="1:8" ht="14.25" customHeight="1">
      <c r="A43" s="56" t="s">
        <v>64</v>
      </c>
      <c r="B43" s="182">
        <v>1305</v>
      </c>
      <c r="C43" s="182">
        <v>201</v>
      </c>
      <c r="D43" s="182">
        <v>782</v>
      </c>
      <c r="E43" s="182">
        <v>248</v>
      </c>
      <c r="F43" s="182">
        <v>242</v>
      </c>
      <c r="G43" s="183">
        <v>62</v>
      </c>
      <c r="H43" s="41"/>
    </row>
    <row r="44" spans="1:8">
      <c r="B44" s="41"/>
      <c r="C44" s="41"/>
      <c r="D44" s="41"/>
      <c r="E44" s="41"/>
      <c r="F44" s="41"/>
      <c r="G44" s="41"/>
      <c r="H44" s="41"/>
    </row>
  </sheetData>
  <mergeCells count="9">
    <mergeCell ref="A25:G25"/>
    <mergeCell ref="A1:G1"/>
    <mergeCell ref="A2:G2"/>
    <mergeCell ref="A6:G6"/>
    <mergeCell ref="A4:A5"/>
    <mergeCell ref="B4:C4"/>
    <mergeCell ref="D4:E4"/>
    <mergeCell ref="F4:G4"/>
    <mergeCell ref="F3:G3"/>
  </mergeCells>
  <hyperlinks>
    <hyperlink ref="F3" location="'Spis tablic'!A4" display="Powrót do spisu treści" xr:uid="{00000000-0004-0000-1300-000000000000}"/>
    <hyperlink ref="F3:G3" location="'Spis tablic  List of tables'!A41" display="'Spis tablic  List of tables'!A41" xr:uid="{00000000-0004-0000-1300-000001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2"/>
  <dimension ref="A1:G241"/>
  <sheetViews>
    <sheetView zoomScaleNormal="100" workbookViewId="0">
      <pane ySplit="4" topLeftCell="A5" activePane="bottomLeft" state="frozen"/>
      <selection activeCell="F16" sqref="F16"/>
      <selection pane="bottomLeft" activeCell="C3" sqref="C3:D3"/>
    </sheetView>
  </sheetViews>
  <sheetFormatPr defaultColWidth="9.1796875" defaultRowHeight="14.5"/>
  <cols>
    <col min="1" max="1" width="26.54296875" style="50" customWidth="1"/>
    <col min="2" max="4" width="16.7265625" style="50" customWidth="1"/>
    <col min="5" max="16384" width="9.1796875" style="50"/>
  </cols>
  <sheetData>
    <row r="1" spans="1:7" s="39" customFormat="1" ht="31.4" customHeight="1">
      <c r="A1" s="574" t="s">
        <v>1189</v>
      </c>
      <c r="B1" s="574"/>
      <c r="C1" s="574"/>
      <c r="D1" s="574"/>
      <c r="E1" s="64"/>
    </row>
    <row r="2" spans="1:7" s="39" customFormat="1" ht="17.25" customHeight="1">
      <c r="A2" s="575" t="s">
        <v>1363</v>
      </c>
      <c r="B2" s="575"/>
      <c r="C2" s="575"/>
      <c r="D2" s="575"/>
      <c r="E2" s="112"/>
    </row>
    <row r="3" spans="1:7" s="39" customFormat="1" ht="30.65" customHeight="1">
      <c r="A3" s="74"/>
      <c r="B3" s="74"/>
      <c r="C3" s="537" t="s">
        <v>5</v>
      </c>
      <c r="D3" s="547"/>
    </row>
    <row r="4" spans="1:7" s="39" customFormat="1" ht="63" customHeight="1">
      <c r="A4" s="106" t="s">
        <v>6</v>
      </c>
      <c r="B4" s="44" t="s">
        <v>12</v>
      </c>
      <c r="C4" s="44" t="s">
        <v>13</v>
      </c>
      <c r="D4" s="45" t="s">
        <v>244</v>
      </c>
      <c r="F4" s="48"/>
    </row>
    <row r="5" spans="1:7" s="41" customFormat="1" ht="40.4" customHeight="1">
      <c r="A5" s="538" t="s">
        <v>48</v>
      </c>
      <c r="B5" s="538"/>
      <c r="C5" s="538"/>
      <c r="D5" s="538"/>
      <c r="E5" s="66"/>
      <c r="F5" s="66"/>
      <c r="G5" s="66"/>
    </row>
    <row r="6" spans="1:7" s="41" customFormat="1" ht="24" customHeight="1">
      <c r="A6" s="46" t="s">
        <v>1390</v>
      </c>
      <c r="B6" s="170">
        <v>34684</v>
      </c>
      <c r="C6" s="170">
        <v>20190</v>
      </c>
      <c r="D6" s="171">
        <v>8983</v>
      </c>
      <c r="E6" s="55"/>
      <c r="F6" s="55"/>
      <c r="G6" s="55"/>
    </row>
    <row r="7" spans="1:7" s="41" customFormat="1" ht="24" customHeight="1">
      <c r="A7" s="251">
        <v>2024</v>
      </c>
      <c r="B7" s="219">
        <v>43557</v>
      </c>
      <c r="C7" s="219">
        <v>24627</v>
      </c>
      <c r="D7" s="220">
        <v>10532</v>
      </c>
    </row>
    <row r="8" spans="1:7" s="41" customFormat="1" ht="24" customHeight="1">
      <c r="A8" s="47" t="s">
        <v>82</v>
      </c>
      <c r="B8" s="182">
        <v>359</v>
      </c>
      <c r="C8" s="182">
        <v>402</v>
      </c>
      <c r="D8" s="183">
        <v>113</v>
      </c>
    </row>
    <row r="9" spans="1:7" s="41" customFormat="1" ht="24" customHeight="1">
      <c r="A9" s="47" t="s">
        <v>83</v>
      </c>
      <c r="B9" s="182">
        <v>95</v>
      </c>
      <c r="C9" s="182">
        <v>452</v>
      </c>
      <c r="D9" s="183">
        <v>87</v>
      </c>
    </row>
    <row r="10" spans="1:7" s="41" customFormat="1" ht="24" customHeight="1">
      <c r="A10" s="47" t="s">
        <v>84</v>
      </c>
      <c r="B10" s="182">
        <v>224</v>
      </c>
      <c r="C10" s="182">
        <v>333</v>
      </c>
      <c r="D10" s="183">
        <v>112</v>
      </c>
    </row>
    <row r="11" spans="1:7" s="41" customFormat="1" ht="24" customHeight="1">
      <c r="A11" s="47" t="s">
        <v>85</v>
      </c>
      <c r="B11" s="182">
        <v>71</v>
      </c>
      <c r="C11" s="182">
        <v>48</v>
      </c>
      <c r="D11" s="183">
        <v>18</v>
      </c>
    </row>
    <row r="12" spans="1:7" s="41" customFormat="1" ht="24" customHeight="1">
      <c r="A12" s="47" t="s">
        <v>88</v>
      </c>
      <c r="B12" s="182">
        <v>74</v>
      </c>
      <c r="C12" s="182">
        <v>38</v>
      </c>
      <c r="D12" s="183">
        <v>14</v>
      </c>
    </row>
    <row r="13" spans="1:7" s="41" customFormat="1" ht="24" customHeight="1">
      <c r="A13" s="47" t="s">
        <v>89</v>
      </c>
      <c r="B13" s="182">
        <v>32</v>
      </c>
      <c r="C13" s="182">
        <v>63</v>
      </c>
      <c r="D13" s="183">
        <v>26</v>
      </c>
    </row>
    <row r="14" spans="1:7" s="41" customFormat="1" ht="24" customHeight="1">
      <c r="A14" s="47" t="s">
        <v>93</v>
      </c>
      <c r="B14" s="182">
        <v>522</v>
      </c>
      <c r="C14" s="182">
        <v>390</v>
      </c>
      <c r="D14" s="183">
        <v>66</v>
      </c>
    </row>
    <row r="15" spans="1:7" s="41" customFormat="1" ht="24" customHeight="1">
      <c r="A15" s="47" t="s">
        <v>94</v>
      </c>
      <c r="B15" s="182">
        <v>50</v>
      </c>
      <c r="C15" s="182">
        <v>139</v>
      </c>
      <c r="D15" s="183">
        <v>75</v>
      </c>
    </row>
    <row r="16" spans="1:7" s="41" customFormat="1" ht="24" customHeight="1">
      <c r="A16" s="47" t="s">
        <v>95</v>
      </c>
      <c r="B16" s="182">
        <v>171</v>
      </c>
      <c r="C16" s="182">
        <v>38</v>
      </c>
      <c r="D16" s="183">
        <v>22</v>
      </c>
    </row>
    <row r="17" spans="1:4" s="41" customFormat="1" ht="24" customHeight="1">
      <c r="A17" s="47" t="s">
        <v>96</v>
      </c>
      <c r="B17" s="182">
        <v>15</v>
      </c>
      <c r="C17" s="182">
        <v>31</v>
      </c>
      <c r="D17" s="183">
        <v>22</v>
      </c>
    </row>
    <row r="18" spans="1:4" s="41" customFormat="1" ht="24" customHeight="1">
      <c r="A18" s="47" t="s">
        <v>97</v>
      </c>
      <c r="B18" s="182">
        <v>104</v>
      </c>
      <c r="C18" s="182">
        <v>16</v>
      </c>
      <c r="D18" s="183">
        <v>9</v>
      </c>
    </row>
    <row r="19" spans="1:4" s="41" customFormat="1" ht="24" customHeight="1">
      <c r="A19" s="47" t="s">
        <v>98</v>
      </c>
      <c r="B19" s="182">
        <v>360</v>
      </c>
      <c r="C19" s="182">
        <v>268</v>
      </c>
      <c r="D19" s="183">
        <v>128</v>
      </c>
    </row>
    <row r="20" spans="1:4" s="41" customFormat="1" ht="24" customHeight="1">
      <c r="A20" s="95" t="s">
        <v>257</v>
      </c>
      <c r="B20" s="182">
        <v>187</v>
      </c>
      <c r="C20" s="182">
        <v>126</v>
      </c>
      <c r="D20" s="183">
        <v>52</v>
      </c>
    </row>
    <row r="21" spans="1:4" s="41" customFormat="1" ht="24" customHeight="1">
      <c r="A21" s="95" t="s">
        <v>256</v>
      </c>
      <c r="B21" s="182">
        <v>173</v>
      </c>
      <c r="C21" s="182">
        <v>142</v>
      </c>
      <c r="D21" s="183">
        <v>76</v>
      </c>
    </row>
    <row r="22" spans="1:4" s="41" customFormat="1" ht="24" customHeight="1">
      <c r="A22" s="47" t="s">
        <v>99</v>
      </c>
      <c r="B22" s="182">
        <v>79</v>
      </c>
      <c r="C22" s="182">
        <v>39</v>
      </c>
      <c r="D22" s="183">
        <v>56</v>
      </c>
    </row>
    <row r="23" spans="1:4" s="41" customFormat="1" ht="24" customHeight="1">
      <c r="A23" s="47" t="s">
        <v>100</v>
      </c>
      <c r="B23" s="182">
        <v>465</v>
      </c>
      <c r="C23" s="182">
        <v>327</v>
      </c>
      <c r="D23" s="183">
        <v>190</v>
      </c>
    </row>
    <row r="24" spans="1:4" s="41" customFormat="1" ht="24" customHeight="1">
      <c r="A24" s="95" t="s">
        <v>264</v>
      </c>
      <c r="B24" s="182">
        <v>233</v>
      </c>
      <c r="C24" s="182">
        <v>99</v>
      </c>
      <c r="D24" s="183">
        <v>78</v>
      </c>
    </row>
    <row r="25" spans="1:4" s="41" customFormat="1" ht="24" customHeight="1">
      <c r="A25" s="95" t="s">
        <v>263</v>
      </c>
      <c r="B25" s="182">
        <v>96</v>
      </c>
      <c r="C25" s="182">
        <v>59</v>
      </c>
      <c r="D25" s="183">
        <v>27</v>
      </c>
    </row>
    <row r="26" spans="1:4" s="41" customFormat="1" ht="24" customHeight="1">
      <c r="A26" s="95" t="s">
        <v>262</v>
      </c>
      <c r="B26" s="182">
        <v>136</v>
      </c>
      <c r="C26" s="182">
        <v>169</v>
      </c>
      <c r="D26" s="183">
        <v>85</v>
      </c>
    </row>
    <row r="27" spans="1:4" s="41" customFormat="1" ht="24" customHeight="1">
      <c r="A27" s="47" t="s">
        <v>104</v>
      </c>
      <c r="B27" s="182">
        <v>281</v>
      </c>
      <c r="C27" s="182">
        <v>778</v>
      </c>
      <c r="D27" s="183">
        <v>90</v>
      </c>
    </row>
    <row r="28" spans="1:4" s="41" customFormat="1" ht="24" customHeight="1">
      <c r="A28" s="47" t="s">
        <v>16</v>
      </c>
      <c r="B28" s="182">
        <v>731</v>
      </c>
      <c r="C28" s="182">
        <v>411</v>
      </c>
      <c r="D28" s="183">
        <v>64</v>
      </c>
    </row>
    <row r="29" spans="1:4" s="41" customFormat="1" ht="24" customHeight="1">
      <c r="A29" s="47" t="s">
        <v>105</v>
      </c>
      <c r="B29" s="182">
        <v>256</v>
      </c>
      <c r="C29" s="182">
        <v>284</v>
      </c>
      <c r="D29" s="183">
        <v>53</v>
      </c>
    </row>
    <row r="30" spans="1:4" s="41" customFormat="1" ht="24" customHeight="1">
      <c r="A30" s="47" t="s">
        <v>106</v>
      </c>
      <c r="B30" s="182">
        <v>178</v>
      </c>
      <c r="C30" s="182">
        <v>203</v>
      </c>
      <c r="D30" s="183">
        <v>56</v>
      </c>
    </row>
    <row r="31" spans="1:4" s="41" customFormat="1" ht="24" customHeight="1">
      <c r="A31" s="95" t="s">
        <v>943</v>
      </c>
      <c r="B31" s="182">
        <v>122</v>
      </c>
      <c r="C31" s="182">
        <v>142</v>
      </c>
      <c r="D31" s="183">
        <v>38</v>
      </c>
    </row>
    <row r="32" spans="1:4" s="41" customFormat="1" ht="24" customHeight="1">
      <c r="A32" s="95" t="s">
        <v>944</v>
      </c>
      <c r="B32" s="182">
        <v>34</v>
      </c>
      <c r="C32" s="182">
        <v>33</v>
      </c>
      <c r="D32" s="183">
        <v>5</v>
      </c>
    </row>
    <row r="33" spans="1:4" s="41" customFormat="1" ht="24" customHeight="1">
      <c r="A33" s="95" t="s">
        <v>107</v>
      </c>
      <c r="B33" s="182">
        <v>22</v>
      </c>
      <c r="C33" s="182">
        <v>28</v>
      </c>
      <c r="D33" s="183">
        <v>13</v>
      </c>
    </row>
    <row r="34" spans="1:4" s="41" customFormat="1" ht="24" customHeight="1">
      <c r="A34" s="47" t="s">
        <v>108</v>
      </c>
      <c r="B34" s="182">
        <v>709</v>
      </c>
      <c r="C34" s="182">
        <v>1479</v>
      </c>
      <c r="D34" s="183">
        <v>202</v>
      </c>
    </row>
    <row r="35" spans="1:4" s="41" customFormat="1" ht="24" customHeight="1">
      <c r="A35" s="47" t="s">
        <v>109</v>
      </c>
      <c r="B35" s="182">
        <v>20</v>
      </c>
      <c r="C35" s="182">
        <v>23</v>
      </c>
      <c r="D35" s="183">
        <v>13</v>
      </c>
    </row>
    <row r="36" spans="1:4" s="41" customFormat="1" ht="24" customHeight="1">
      <c r="A36" s="47" t="s">
        <v>110</v>
      </c>
      <c r="B36" s="182">
        <v>312</v>
      </c>
      <c r="C36" s="182">
        <v>403</v>
      </c>
      <c r="D36" s="183">
        <v>45</v>
      </c>
    </row>
    <row r="37" spans="1:4" s="41" customFormat="1" ht="24" customHeight="1">
      <c r="A37" s="47" t="s">
        <v>111</v>
      </c>
      <c r="B37" s="182">
        <v>259</v>
      </c>
      <c r="C37" s="182">
        <v>380</v>
      </c>
      <c r="D37" s="183">
        <v>174</v>
      </c>
    </row>
    <row r="38" spans="1:4" s="41" customFormat="1" ht="30">
      <c r="A38" s="95" t="s">
        <v>261</v>
      </c>
      <c r="B38" s="174">
        <v>126</v>
      </c>
      <c r="C38" s="174">
        <v>160</v>
      </c>
      <c r="D38" s="175">
        <v>70</v>
      </c>
    </row>
    <row r="39" spans="1:4" s="41" customFormat="1" ht="24" customHeight="1">
      <c r="A39" s="95" t="s">
        <v>253</v>
      </c>
      <c r="B39" s="182">
        <v>37</v>
      </c>
      <c r="C39" s="182">
        <v>58</v>
      </c>
      <c r="D39" s="183">
        <v>15</v>
      </c>
    </row>
    <row r="40" spans="1:4" s="41" customFormat="1" ht="24" customHeight="1">
      <c r="A40" s="95" t="s">
        <v>252</v>
      </c>
      <c r="B40" s="182">
        <v>38</v>
      </c>
      <c r="C40" s="182">
        <v>39</v>
      </c>
      <c r="D40" s="183">
        <v>14</v>
      </c>
    </row>
    <row r="41" spans="1:4" s="41" customFormat="1" ht="24" customHeight="1">
      <c r="A41" s="95" t="s">
        <v>260</v>
      </c>
      <c r="B41" s="182">
        <v>48</v>
      </c>
      <c r="C41" s="182">
        <v>104</v>
      </c>
      <c r="D41" s="183">
        <v>68</v>
      </c>
    </row>
    <row r="42" spans="1:4" s="41" customFormat="1" ht="24" customHeight="1">
      <c r="A42" s="47" t="s">
        <v>117</v>
      </c>
      <c r="B42" s="182">
        <v>5</v>
      </c>
      <c r="C42" s="182">
        <v>21</v>
      </c>
      <c r="D42" s="205" t="s">
        <v>1074</v>
      </c>
    </row>
    <row r="43" spans="1:4" s="41" customFormat="1" ht="24" customHeight="1">
      <c r="A43" s="47" t="s">
        <v>18</v>
      </c>
      <c r="B43" s="182">
        <v>1694</v>
      </c>
      <c r="C43" s="182">
        <v>628</v>
      </c>
      <c r="D43" s="183">
        <v>313</v>
      </c>
    </row>
    <row r="44" spans="1:4" s="41" customFormat="1" ht="24" customHeight="1">
      <c r="A44" s="47" t="s">
        <v>251</v>
      </c>
      <c r="B44" s="182">
        <v>9</v>
      </c>
      <c r="C44" s="182">
        <v>2</v>
      </c>
      <c r="D44" s="183">
        <v>3</v>
      </c>
    </row>
    <row r="45" spans="1:4" s="41" customFormat="1" ht="24" customHeight="1">
      <c r="A45" s="47" t="s">
        <v>19</v>
      </c>
      <c r="B45" s="182">
        <v>1352</v>
      </c>
      <c r="C45" s="182">
        <v>1135</v>
      </c>
      <c r="D45" s="183">
        <v>407</v>
      </c>
    </row>
    <row r="46" spans="1:4" s="41" customFormat="1" ht="24" customHeight="1">
      <c r="A46" s="47" t="s">
        <v>119</v>
      </c>
      <c r="B46" s="182">
        <v>172</v>
      </c>
      <c r="C46" s="182">
        <v>60</v>
      </c>
      <c r="D46" s="183">
        <v>28</v>
      </c>
    </row>
    <row r="47" spans="1:4" s="41" customFormat="1" ht="24" customHeight="1">
      <c r="A47" s="47" t="s">
        <v>120</v>
      </c>
      <c r="B47" s="182">
        <v>93</v>
      </c>
      <c r="C47" s="182">
        <v>163</v>
      </c>
      <c r="D47" s="183">
        <v>44</v>
      </c>
    </row>
    <row r="48" spans="1:4" s="41" customFormat="1" ht="24" customHeight="1">
      <c r="A48" s="324" t="s">
        <v>121</v>
      </c>
      <c r="B48" s="204">
        <v>55</v>
      </c>
      <c r="C48" s="204">
        <v>43</v>
      </c>
      <c r="D48" s="205">
        <v>8</v>
      </c>
    </row>
    <row r="49" spans="1:4" s="325" customFormat="1" ht="24" customHeight="1">
      <c r="A49" s="440" t="s">
        <v>1231</v>
      </c>
      <c r="B49" s="204">
        <v>102</v>
      </c>
      <c r="C49" s="204">
        <v>82</v>
      </c>
      <c r="D49" s="205">
        <v>20</v>
      </c>
    </row>
    <row r="50" spans="1:4" s="41" customFormat="1" ht="24" customHeight="1">
      <c r="A50" s="324" t="s">
        <v>122</v>
      </c>
      <c r="B50" s="182">
        <v>10</v>
      </c>
      <c r="C50" s="182">
        <v>17</v>
      </c>
      <c r="D50" s="183">
        <v>6</v>
      </c>
    </row>
    <row r="51" spans="1:4" s="41" customFormat="1" ht="24" customHeight="1">
      <c r="A51" s="324" t="s">
        <v>123</v>
      </c>
      <c r="B51" s="182">
        <v>68</v>
      </c>
      <c r="C51" s="182">
        <v>55</v>
      </c>
      <c r="D51" s="183">
        <v>16</v>
      </c>
    </row>
    <row r="52" spans="1:4" s="41" customFormat="1" ht="24" customHeight="1">
      <c r="A52" s="324" t="s">
        <v>124</v>
      </c>
      <c r="B52" s="182">
        <v>296</v>
      </c>
      <c r="C52" s="182">
        <v>365</v>
      </c>
      <c r="D52" s="183">
        <v>107</v>
      </c>
    </row>
    <row r="53" spans="1:4" s="41" customFormat="1" ht="24" customHeight="1">
      <c r="A53" s="95" t="s">
        <v>125</v>
      </c>
      <c r="B53" s="182">
        <v>152</v>
      </c>
      <c r="C53" s="182">
        <v>284</v>
      </c>
      <c r="D53" s="183">
        <v>77</v>
      </c>
    </row>
    <row r="54" spans="1:4" s="41" customFormat="1" ht="24" customHeight="1">
      <c r="A54" s="95" t="s">
        <v>126</v>
      </c>
      <c r="B54" s="182">
        <v>139</v>
      </c>
      <c r="C54" s="182">
        <v>70</v>
      </c>
      <c r="D54" s="183">
        <v>24</v>
      </c>
    </row>
    <row r="55" spans="1:4" s="41" customFormat="1" ht="24" customHeight="1">
      <c r="A55" s="95" t="s">
        <v>127</v>
      </c>
      <c r="B55" s="182">
        <v>5</v>
      </c>
      <c r="C55" s="182">
        <v>11</v>
      </c>
      <c r="D55" s="183">
        <v>6</v>
      </c>
    </row>
    <row r="56" spans="1:4" s="41" customFormat="1" ht="24" customHeight="1">
      <c r="A56" s="47" t="s">
        <v>128</v>
      </c>
      <c r="B56" s="182">
        <v>32</v>
      </c>
      <c r="C56" s="182">
        <v>115</v>
      </c>
      <c r="D56" s="183">
        <v>48</v>
      </c>
    </row>
    <row r="57" spans="1:4" s="325" customFormat="1" ht="24" customHeight="1">
      <c r="A57" s="324" t="s">
        <v>1198</v>
      </c>
      <c r="B57" s="182">
        <v>3</v>
      </c>
      <c r="C57" s="205" t="s">
        <v>1074</v>
      </c>
      <c r="D57" s="205" t="s">
        <v>1074</v>
      </c>
    </row>
    <row r="58" spans="1:4" s="41" customFormat="1" ht="24" customHeight="1">
      <c r="A58" s="324" t="s">
        <v>250</v>
      </c>
      <c r="B58" s="182">
        <v>151</v>
      </c>
      <c r="C58" s="182">
        <v>43</v>
      </c>
      <c r="D58" s="183">
        <v>65</v>
      </c>
    </row>
    <row r="59" spans="1:4" s="41" customFormat="1" ht="24" customHeight="1">
      <c r="A59" s="309" t="s">
        <v>1097</v>
      </c>
      <c r="B59" s="182">
        <v>73</v>
      </c>
      <c r="C59" s="182">
        <v>56</v>
      </c>
      <c r="D59" s="183">
        <v>10</v>
      </c>
    </row>
    <row r="60" spans="1:4" s="41" customFormat="1" ht="24" customHeight="1">
      <c r="A60" s="47" t="s">
        <v>249</v>
      </c>
      <c r="B60" s="182">
        <v>23267</v>
      </c>
      <c r="C60" s="182">
        <v>2224</v>
      </c>
      <c r="D60" s="183">
        <v>2471</v>
      </c>
    </row>
    <row r="61" spans="1:4" s="41" customFormat="1" ht="24" customHeight="1">
      <c r="A61" s="95" t="s">
        <v>132</v>
      </c>
      <c r="B61" s="182">
        <v>22832</v>
      </c>
      <c r="C61" s="182">
        <v>2140</v>
      </c>
      <c r="D61" s="183">
        <v>2369</v>
      </c>
    </row>
    <row r="62" spans="1:4" s="41" customFormat="1" ht="24" customHeight="1">
      <c r="A62" s="95" t="s">
        <v>133</v>
      </c>
      <c r="B62" s="182">
        <v>403</v>
      </c>
      <c r="C62" s="182">
        <v>79</v>
      </c>
      <c r="D62" s="183">
        <v>90</v>
      </c>
    </row>
    <row r="63" spans="1:4" s="41" customFormat="1" ht="24" customHeight="1">
      <c r="A63" s="95" t="s">
        <v>134</v>
      </c>
      <c r="B63" s="182">
        <v>32</v>
      </c>
      <c r="C63" s="182">
        <v>5</v>
      </c>
      <c r="D63" s="183">
        <v>12</v>
      </c>
    </row>
    <row r="64" spans="1:4" s="41" customFormat="1" ht="24" customHeight="1">
      <c r="A64" s="47" t="s">
        <v>21</v>
      </c>
      <c r="B64" s="182">
        <v>1145</v>
      </c>
      <c r="C64" s="182">
        <v>559</v>
      </c>
      <c r="D64" s="183">
        <v>215</v>
      </c>
    </row>
    <row r="65" spans="1:4" s="41" customFormat="1" ht="24" customHeight="1">
      <c r="A65" s="47" t="s">
        <v>248</v>
      </c>
      <c r="B65" s="182">
        <v>2690</v>
      </c>
      <c r="C65" s="182">
        <v>1439</v>
      </c>
      <c r="D65" s="183">
        <v>678</v>
      </c>
    </row>
    <row r="66" spans="1:4" s="41" customFormat="1" ht="24" customHeight="1">
      <c r="A66" s="95" t="s">
        <v>136</v>
      </c>
      <c r="B66" s="182">
        <v>2592</v>
      </c>
      <c r="C66" s="182">
        <v>1370</v>
      </c>
      <c r="D66" s="183">
        <v>658</v>
      </c>
    </row>
    <row r="67" spans="1:4" s="41" customFormat="1" ht="24" customHeight="1">
      <c r="A67" s="95" t="s">
        <v>137</v>
      </c>
      <c r="B67" s="182">
        <v>98</v>
      </c>
      <c r="C67" s="182">
        <v>69</v>
      </c>
      <c r="D67" s="183">
        <v>20</v>
      </c>
    </row>
    <row r="68" spans="1:4" s="41" customFormat="1" ht="24" customHeight="1">
      <c r="A68" s="47" t="s">
        <v>138</v>
      </c>
      <c r="B68" s="182">
        <v>19</v>
      </c>
      <c r="C68" s="182">
        <v>25</v>
      </c>
      <c r="D68" s="183">
        <v>5</v>
      </c>
    </row>
    <row r="69" spans="1:4" s="41" customFormat="1" ht="24" customHeight="1">
      <c r="A69" s="47" t="s">
        <v>139</v>
      </c>
      <c r="B69" s="182">
        <v>123</v>
      </c>
      <c r="C69" s="182">
        <v>115</v>
      </c>
      <c r="D69" s="183">
        <v>14</v>
      </c>
    </row>
    <row r="70" spans="1:4" s="41" customFormat="1" ht="24" customHeight="1">
      <c r="A70" s="308" t="s">
        <v>1098</v>
      </c>
      <c r="B70" s="182">
        <v>1</v>
      </c>
      <c r="C70" s="182">
        <v>2</v>
      </c>
      <c r="D70" s="205" t="s">
        <v>1074</v>
      </c>
    </row>
    <row r="71" spans="1:4" s="41" customFormat="1" ht="24" customHeight="1">
      <c r="A71" s="308" t="s">
        <v>1099</v>
      </c>
      <c r="B71" s="182">
        <v>3</v>
      </c>
      <c r="C71" s="182">
        <v>6</v>
      </c>
      <c r="D71" s="183">
        <v>3</v>
      </c>
    </row>
    <row r="72" spans="1:4" s="41" customFormat="1" ht="24" customHeight="1">
      <c r="A72" s="308" t="s">
        <v>1100</v>
      </c>
      <c r="B72" s="182">
        <v>2</v>
      </c>
      <c r="C72" s="182">
        <v>5</v>
      </c>
      <c r="D72" s="183">
        <v>8</v>
      </c>
    </row>
    <row r="73" spans="1:4" s="41" customFormat="1" ht="24" customHeight="1">
      <c r="A73" s="47" t="s">
        <v>143</v>
      </c>
      <c r="B73" s="182">
        <v>209</v>
      </c>
      <c r="C73" s="182">
        <v>53</v>
      </c>
      <c r="D73" s="183">
        <v>31</v>
      </c>
    </row>
    <row r="74" spans="1:4" s="41" customFormat="1" ht="24" customHeight="1">
      <c r="A74" s="47" t="s">
        <v>144</v>
      </c>
      <c r="B74" s="182">
        <v>14</v>
      </c>
      <c r="C74" s="182">
        <v>18</v>
      </c>
      <c r="D74" s="183">
        <v>9</v>
      </c>
    </row>
    <row r="75" spans="1:4" s="41" customFormat="1" ht="24" customHeight="1">
      <c r="A75" s="47" t="s">
        <v>145</v>
      </c>
      <c r="B75" s="182">
        <v>26</v>
      </c>
      <c r="C75" s="182">
        <v>10</v>
      </c>
      <c r="D75" s="183">
        <v>5</v>
      </c>
    </row>
    <row r="76" spans="1:4" s="41" customFormat="1" ht="24" customHeight="1">
      <c r="A76" s="47" t="s">
        <v>146</v>
      </c>
      <c r="B76" s="182">
        <v>25</v>
      </c>
      <c r="C76" s="182">
        <v>746</v>
      </c>
      <c r="D76" s="183">
        <v>67</v>
      </c>
    </row>
    <row r="77" spans="1:4" s="41" customFormat="1" ht="24" customHeight="1">
      <c r="A77" s="47" t="s">
        <v>147</v>
      </c>
      <c r="B77" s="182">
        <v>45</v>
      </c>
      <c r="C77" s="182">
        <v>61</v>
      </c>
      <c r="D77" s="183">
        <v>63</v>
      </c>
    </row>
    <row r="78" spans="1:4" s="41" customFormat="1" ht="35.5" customHeight="1">
      <c r="A78" s="95" t="s">
        <v>1096</v>
      </c>
      <c r="B78" s="174">
        <v>18</v>
      </c>
      <c r="C78" s="174">
        <v>30</v>
      </c>
      <c r="D78" s="175">
        <v>25</v>
      </c>
    </row>
    <row r="79" spans="1:4" s="41" customFormat="1" ht="24" customHeight="1">
      <c r="A79" s="95" t="s">
        <v>149</v>
      </c>
      <c r="B79" s="182">
        <v>17</v>
      </c>
      <c r="C79" s="182">
        <v>20</v>
      </c>
      <c r="D79" s="183">
        <v>24</v>
      </c>
    </row>
    <row r="80" spans="1:4" s="41" customFormat="1" ht="24" customHeight="1">
      <c r="A80" s="47" t="s">
        <v>151</v>
      </c>
      <c r="B80" s="182">
        <v>125</v>
      </c>
      <c r="C80" s="182">
        <v>265</v>
      </c>
      <c r="D80" s="183">
        <v>266</v>
      </c>
    </row>
    <row r="81" spans="1:4" s="41" customFormat="1" ht="24" customHeight="1">
      <c r="A81" s="308" t="s">
        <v>152</v>
      </c>
      <c r="B81" s="182">
        <v>1361</v>
      </c>
      <c r="C81" s="182">
        <v>1498</v>
      </c>
      <c r="D81" s="183">
        <v>229</v>
      </c>
    </row>
    <row r="82" spans="1:4" s="41" customFormat="1" ht="36" customHeight="1">
      <c r="A82" s="95" t="s">
        <v>1093</v>
      </c>
      <c r="B82" s="174">
        <v>1311</v>
      </c>
      <c r="C82" s="174">
        <v>1447</v>
      </c>
      <c r="D82" s="175">
        <v>224</v>
      </c>
    </row>
    <row r="83" spans="1:4" s="41" customFormat="1" ht="24" customHeight="1">
      <c r="A83" s="78" t="s">
        <v>1117</v>
      </c>
      <c r="B83" s="182">
        <v>13</v>
      </c>
      <c r="C83" s="182">
        <v>16</v>
      </c>
      <c r="D83" s="183">
        <v>2</v>
      </c>
    </row>
    <row r="84" spans="1:4" s="41" customFormat="1" ht="24" customHeight="1">
      <c r="A84" s="308" t="s">
        <v>1101</v>
      </c>
      <c r="B84" s="182">
        <v>3</v>
      </c>
      <c r="C84" s="182">
        <v>3</v>
      </c>
      <c r="D84" s="183">
        <v>6</v>
      </c>
    </row>
    <row r="85" spans="1:4" s="41" customFormat="1" ht="24" customHeight="1">
      <c r="A85" s="47" t="s">
        <v>157</v>
      </c>
      <c r="B85" s="182">
        <v>22</v>
      </c>
      <c r="C85" s="182">
        <v>17</v>
      </c>
      <c r="D85" s="183">
        <v>21</v>
      </c>
    </row>
    <row r="86" spans="1:4" s="41" customFormat="1" ht="30">
      <c r="A86" s="95" t="s">
        <v>1343</v>
      </c>
      <c r="B86" s="182">
        <v>15</v>
      </c>
      <c r="C86" s="182">
        <v>12</v>
      </c>
      <c r="D86" s="183">
        <v>20</v>
      </c>
    </row>
    <row r="87" spans="1:4" s="41" customFormat="1" ht="24" customHeight="1">
      <c r="A87" s="308" t="s">
        <v>1102</v>
      </c>
      <c r="B87" s="205" t="s">
        <v>1074</v>
      </c>
      <c r="C87" s="182">
        <v>1</v>
      </c>
      <c r="D87" s="183">
        <v>2</v>
      </c>
    </row>
    <row r="88" spans="1:4" s="41" customFormat="1" ht="22.4" customHeight="1">
      <c r="A88" s="210" t="s">
        <v>947</v>
      </c>
      <c r="B88" s="182">
        <v>149</v>
      </c>
      <c r="C88" s="182">
        <v>178</v>
      </c>
      <c r="D88" s="183">
        <v>111</v>
      </c>
    </row>
    <row r="89" spans="1:4" s="41" customFormat="1" ht="24" customHeight="1">
      <c r="A89" s="47" t="s">
        <v>159</v>
      </c>
      <c r="B89" s="182">
        <v>48</v>
      </c>
      <c r="C89" s="182">
        <v>78</v>
      </c>
      <c r="D89" s="183">
        <v>56</v>
      </c>
    </row>
    <row r="90" spans="1:4" s="41" customFormat="1" ht="34.4" customHeight="1">
      <c r="A90" s="95" t="s">
        <v>1094</v>
      </c>
      <c r="B90" s="182">
        <v>12</v>
      </c>
      <c r="C90" s="182">
        <v>20</v>
      </c>
      <c r="D90" s="183">
        <v>17</v>
      </c>
    </row>
    <row r="91" spans="1:4" s="41" customFormat="1" ht="24" customHeight="1">
      <c r="A91" s="47" t="s">
        <v>163</v>
      </c>
      <c r="B91" s="182">
        <v>130</v>
      </c>
      <c r="C91" s="182">
        <v>183</v>
      </c>
      <c r="D91" s="183">
        <v>61</v>
      </c>
    </row>
    <row r="92" spans="1:4" s="41" customFormat="1" ht="24" customHeight="1">
      <c r="A92" s="95" t="s">
        <v>164</v>
      </c>
      <c r="B92" s="182">
        <v>45</v>
      </c>
      <c r="C92" s="182">
        <v>107</v>
      </c>
      <c r="D92" s="183">
        <v>34</v>
      </c>
    </row>
    <row r="93" spans="1:4" s="41" customFormat="1" ht="24" customHeight="1">
      <c r="A93" s="95" t="s">
        <v>165</v>
      </c>
      <c r="B93" s="182">
        <v>37</v>
      </c>
      <c r="C93" s="182">
        <v>36</v>
      </c>
      <c r="D93" s="183">
        <v>13</v>
      </c>
    </row>
    <row r="94" spans="1:4" s="41" customFormat="1" ht="24" customHeight="1">
      <c r="A94" s="95" t="s">
        <v>166</v>
      </c>
      <c r="B94" s="182">
        <v>48</v>
      </c>
      <c r="C94" s="182">
        <v>40</v>
      </c>
      <c r="D94" s="183">
        <v>14</v>
      </c>
    </row>
    <row r="95" spans="1:4" s="41" customFormat="1" ht="24" customHeight="1">
      <c r="A95" s="47" t="s">
        <v>167</v>
      </c>
      <c r="B95" s="182">
        <v>350</v>
      </c>
      <c r="C95" s="182">
        <v>551</v>
      </c>
      <c r="D95" s="183">
        <v>108</v>
      </c>
    </row>
    <row r="96" spans="1:4" s="41" customFormat="1" ht="24" customHeight="1">
      <c r="A96" s="95" t="s">
        <v>168</v>
      </c>
      <c r="B96" s="182">
        <v>235</v>
      </c>
      <c r="C96" s="182">
        <v>410</v>
      </c>
      <c r="D96" s="183">
        <v>76</v>
      </c>
    </row>
    <row r="97" spans="1:4" s="41" customFormat="1" ht="24" customHeight="1">
      <c r="A97" s="95" t="s">
        <v>169</v>
      </c>
      <c r="B97" s="182">
        <v>115</v>
      </c>
      <c r="C97" s="182">
        <v>141</v>
      </c>
      <c r="D97" s="183">
        <v>32</v>
      </c>
    </row>
    <row r="98" spans="1:4" s="41" customFormat="1" ht="24" customHeight="1">
      <c r="A98" s="47" t="s">
        <v>24</v>
      </c>
      <c r="B98" s="182">
        <v>821</v>
      </c>
      <c r="C98" s="182">
        <v>2074</v>
      </c>
      <c r="D98" s="183">
        <v>1319</v>
      </c>
    </row>
    <row r="99" spans="1:4" s="41" customFormat="1" ht="24" customHeight="1">
      <c r="A99" s="47" t="s">
        <v>170</v>
      </c>
      <c r="B99" s="182">
        <v>43</v>
      </c>
      <c r="C99" s="182">
        <v>47</v>
      </c>
      <c r="D99" s="183">
        <v>6</v>
      </c>
    </row>
    <row r="100" spans="1:4" s="41" customFormat="1" ht="24" customHeight="1">
      <c r="A100" s="47" t="s">
        <v>171</v>
      </c>
      <c r="B100" s="182">
        <v>254</v>
      </c>
      <c r="C100" s="182">
        <v>763</v>
      </c>
      <c r="D100" s="183">
        <v>210</v>
      </c>
    </row>
    <row r="101" spans="1:4" s="41" customFormat="1" ht="24" customHeight="1">
      <c r="A101" s="47" t="s">
        <v>172</v>
      </c>
      <c r="B101" s="182">
        <v>200</v>
      </c>
      <c r="C101" s="182">
        <v>155</v>
      </c>
      <c r="D101" s="183">
        <v>35</v>
      </c>
    </row>
    <row r="102" spans="1:4" s="325" customFormat="1" ht="24" customHeight="1">
      <c r="A102" s="324" t="s">
        <v>1199</v>
      </c>
      <c r="B102" s="182">
        <v>254</v>
      </c>
      <c r="C102" s="182">
        <v>486</v>
      </c>
      <c r="D102" s="183">
        <v>91</v>
      </c>
    </row>
    <row r="103" spans="1:4" s="41" customFormat="1" ht="24" customHeight="1">
      <c r="A103" s="78" t="s">
        <v>1196</v>
      </c>
      <c r="B103" s="182">
        <v>158</v>
      </c>
      <c r="C103" s="182">
        <v>316</v>
      </c>
      <c r="D103" s="183">
        <v>65</v>
      </c>
    </row>
    <row r="104" spans="1:4" s="41" customFormat="1" ht="24" customHeight="1">
      <c r="A104" s="78" t="s">
        <v>1200</v>
      </c>
      <c r="B104" s="182">
        <v>96</v>
      </c>
      <c r="C104" s="182">
        <v>170</v>
      </c>
      <c r="D104" s="183">
        <v>26</v>
      </c>
    </row>
    <row r="105" spans="1:4" s="41" customFormat="1" ht="24" customHeight="1">
      <c r="A105" s="324" t="s">
        <v>173</v>
      </c>
      <c r="B105" s="182">
        <v>544</v>
      </c>
      <c r="C105" s="182">
        <v>590</v>
      </c>
      <c r="D105" s="183">
        <v>146</v>
      </c>
    </row>
    <row r="106" spans="1:4" s="41" customFormat="1" ht="24" customHeight="1">
      <c r="A106" s="324" t="s">
        <v>25</v>
      </c>
      <c r="B106" s="182">
        <v>589</v>
      </c>
      <c r="C106" s="182">
        <v>801</v>
      </c>
      <c r="D106" s="183">
        <v>582</v>
      </c>
    </row>
    <row r="107" spans="1:4" s="41" customFormat="1" ht="24" customHeight="1">
      <c r="A107" s="47" t="s">
        <v>174</v>
      </c>
      <c r="B107" s="182">
        <v>92</v>
      </c>
      <c r="C107" s="182">
        <v>51</v>
      </c>
      <c r="D107" s="183">
        <v>10</v>
      </c>
    </row>
    <row r="108" spans="1:4" s="41" customFormat="1" ht="24" customHeight="1">
      <c r="A108" s="47" t="s">
        <v>175</v>
      </c>
      <c r="B108" s="182">
        <v>18</v>
      </c>
      <c r="C108" s="182">
        <v>119</v>
      </c>
      <c r="D108" s="183">
        <v>38</v>
      </c>
    </row>
    <row r="109" spans="1:4" s="41" customFormat="1" ht="24" customHeight="1">
      <c r="A109" s="47" t="s">
        <v>176</v>
      </c>
      <c r="B109" s="182">
        <v>24</v>
      </c>
      <c r="C109" s="182">
        <v>3</v>
      </c>
      <c r="D109" s="183">
        <v>22</v>
      </c>
    </row>
    <row r="110" spans="1:4" s="41" customFormat="1" ht="24" customHeight="1">
      <c r="A110" s="47" t="s">
        <v>177</v>
      </c>
      <c r="B110" s="182">
        <v>94</v>
      </c>
      <c r="C110" s="182">
        <v>92</v>
      </c>
      <c r="D110" s="183">
        <v>17</v>
      </c>
    </row>
    <row r="111" spans="1:4" s="41" customFormat="1" ht="24" customHeight="1">
      <c r="A111" s="47" t="s">
        <v>178</v>
      </c>
      <c r="B111" s="182">
        <v>57</v>
      </c>
      <c r="C111" s="182">
        <v>111</v>
      </c>
      <c r="D111" s="183">
        <v>18</v>
      </c>
    </row>
    <row r="112" spans="1:4" s="41" customFormat="1" ht="24" customHeight="1">
      <c r="A112" s="308" t="s">
        <v>1103</v>
      </c>
      <c r="B112" s="182">
        <v>22</v>
      </c>
      <c r="C112" s="182">
        <v>43</v>
      </c>
      <c r="D112" s="183">
        <v>7</v>
      </c>
    </row>
    <row r="113" spans="1:7" s="41" customFormat="1" ht="24" customHeight="1">
      <c r="A113" s="47" t="s">
        <v>180</v>
      </c>
      <c r="B113" s="182">
        <v>280</v>
      </c>
      <c r="C113" s="182">
        <v>367</v>
      </c>
      <c r="D113" s="183">
        <v>55</v>
      </c>
    </row>
    <row r="114" spans="1:7" s="41" customFormat="1" ht="24" customHeight="1">
      <c r="A114" s="95" t="s">
        <v>181</v>
      </c>
      <c r="B114" s="182">
        <v>110</v>
      </c>
      <c r="C114" s="182">
        <v>113</v>
      </c>
      <c r="D114" s="183">
        <v>12</v>
      </c>
    </row>
    <row r="115" spans="1:7" s="41" customFormat="1" ht="24" customHeight="1">
      <c r="A115" s="95" t="s">
        <v>182</v>
      </c>
      <c r="B115" s="182">
        <v>111</v>
      </c>
      <c r="C115" s="182">
        <v>162</v>
      </c>
      <c r="D115" s="183">
        <v>21</v>
      </c>
    </row>
    <row r="116" spans="1:7" s="325" customFormat="1" ht="24" customHeight="1">
      <c r="A116" s="441" t="s">
        <v>1234</v>
      </c>
      <c r="B116" s="182">
        <v>39</v>
      </c>
      <c r="C116" s="182">
        <v>78</v>
      </c>
      <c r="D116" s="183">
        <v>17</v>
      </c>
    </row>
    <row r="117" spans="1:7" s="41" customFormat="1" ht="24" customHeight="1">
      <c r="A117" s="95" t="s">
        <v>183</v>
      </c>
      <c r="B117" s="182">
        <v>20</v>
      </c>
      <c r="C117" s="182">
        <v>14</v>
      </c>
      <c r="D117" s="183">
        <v>5</v>
      </c>
    </row>
    <row r="118" spans="1:7" s="41" customFormat="1" ht="24" customHeight="1">
      <c r="A118" s="47" t="s">
        <v>184</v>
      </c>
      <c r="B118" s="182">
        <v>347</v>
      </c>
      <c r="C118" s="182">
        <v>585</v>
      </c>
      <c r="D118" s="183">
        <v>231</v>
      </c>
    </row>
    <row r="119" spans="1:7" s="41" customFormat="1" ht="30">
      <c r="A119" s="95" t="s">
        <v>258</v>
      </c>
      <c r="B119" s="182">
        <v>310</v>
      </c>
      <c r="C119" s="182">
        <v>475</v>
      </c>
      <c r="D119" s="183">
        <v>186</v>
      </c>
    </row>
    <row r="120" spans="1:7" s="41" customFormat="1" ht="24" customHeight="1">
      <c r="A120" s="95" t="s">
        <v>989</v>
      </c>
      <c r="B120" s="182">
        <v>1</v>
      </c>
      <c r="C120" s="182">
        <v>9</v>
      </c>
      <c r="D120" s="183">
        <v>22</v>
      </c>
    </row>
    <row r="121" spans="1:7" ht="24" customHeight="1">
      <c r="A121" s="47" t="s">
        <v>1095</v>
      </c>
      <c r="B121" s="182">
        <v>679</v>
      </c>
      <c r="C121" s="182">
        <v>973</v>
      </c>
      <c r="D121" s="183">
        <v>606</v>
      </c>
    </row>
    <row r="122" spans="1:7" s="57" customFormat="1" ht="40.4" customHeight="1">
      <c r="A122" s="538" t="s">
        <v>65</v>
      </c>
      <c r="B122" s="538"/>
      <c r="C122" s="538"/>
      <c r="D122" s="538"/>
      <c r="E122" s="111"/>
      <c r="F122" s="111"/>
      <c r="G122" s="50"/>
    </row>
    <row r="123" spans="1:7" s="109" customFormat="1" ht="24" customHeight="1">
      <c r="A123" s="46" t="s">
        <v>1390</v>
      </c>
      <c r="B123" s="182">
        <v>21116</v>
      </c>
      <c r="C123" s="182">
        <v>12374</v>
      </c>
      <c r="D123" s="183">
        <v>4744</v>
      </c>
      <c r="E123" s="110"/>
      <c r="F123" s="110"/>
      <c r="G123" s="108"/>
    </row>
    <row r="124" spans="1:7" s="108" customFormat="1" ht="24" customHeight="1">
      <c r="A124" s="251">
        <v>2024</v>
      </c>
      <c r="B124" s="219">
        <v>26056</v>
      </c>
      <c r="C124" s="219">
        <v>15690</v>
      </c>
      <c r="D124" s="220">
        <v>5564</v>
      </c>
    </row>
    <row r="125" spans="1:7" s="108" customFormat="1" ht="24" customHeight="1">
      <c r="A125" s="308" t="s">
        <v>82</v>
      </c>
      <c r="B125" s="182">
        <v>252</v>
      </c>
      <c r="C125" s="182">
        <v>306</v>
      </c>
      <c r="D125" s="183">
        <v>81</v>
      </c>
    </row>
    <row r="126" spans="1:7" s="108" customFormat="1" ht="24" customHeight="1">
      <c r="A126" s="308" t="s">
        <v>83</v>
      </c>
      <c r="B126" s="182">
        <v>73</v>
      </c>
      <c r="C126" s="182">
        <v>193</v>
      </c>
      <c r="D126" s="183">
        <v>70</v>
      </c>
    </row>
    <row r="127" spans="1:7" s="108" customFormat="1" ht="24" customHeight="1">
      <c r="A127" s="308" t="s">
        <v>84</v>
      </c>
      <c r="B127" s="182">
        <v>163</v>
      </c>
      <c r="C127" s="182">
        <v>215</v>
      </c>
      <c r="D127" s="183">
        <v>57</v>
      </c>
    </row>
    <row r="128" spans="1:7" s="108" customFormat="1" ht="24" customHeight="1">
      <c r="A128" s="308" t="s">
        <v>85</v>
      </c>
      <c r="B128" s="182">
        <v>61</v>
      </c>
      <c r="C128" s="182">
        <v>41</v>
      </c>
      <c r="D128" s="183">
        <v>11</v>
      </c>
    </row>
    <row r="129" spans="1:4" ht="24" customHeight="1">
      <c r="A129" s="308" t="s">
        <v>88</v>
      </c>
      <c r="B129" s="182">
        <v>67</v>
      </c>
      <c r="C129" s="182">
        <v>31</v>
      </c>
      <c r="D129" s="183">
        <v>10</v>
      </c>
    </row>
    <row r="130" spans="1:4" ht="24" customHeight="1">
      <c r="A130" s="308" t="s">
        <v>89</v>
      </c>
      <c r="B130" s="182">
        <v>24</v>
      </c>
      <c r="C130" s="182">
        <v>50</v>
      </c>
      <c r="D130" s="183">
        <v>16</v>
      </c>
    </row>
    <row r="131" spans="1:4" ht="24" customHeight="1">
      <c r="A131" s="308" t="s">
        <v>93</v>
      </c>
      <c r="B131" s="182">
        <v>454</v>
      </c>
      <c r="C131" s="182">
        <v>346</v>
      </c>
      <c r="D131" s="183">
        <v>56</v>
      </c>
    </row>
    <row r="132" spans="1:4" ht="24" customHeight="1">
      <c r="A132" s="308" t="s">
        <v>94</v>
      </c>
      <c r="B132" s="182">
        <v>41</v>
      </c>
      <c r="C132" s="182">
        <v>114</v>
      </c>
      <c r="D132" s="183">
        <v>62</v>
      </c>
    </row>
    <row r="133" spans="1:4" ht="24" customHeight="1">
      <c r="A133" s="308" t="s">
        <v>95</v>
      </c>
      <c r="B133" s="182">
        <v>142</v>
      </c>
      <c r="C133" s="182">
        <v>27</v>
      </c>
      <c r="D133" s="183">
        <v>16</v>
      </c>
    </row>
    <row r="134" spans="1:4" ht="24" customHeight="1">
      <c r="A134" s="308" t="s">
        <v>96</v>
      </c>
      <c r="B134" s="182">
        <v>15</v>
      </c>
      <c r="C134" s="182">
        <v>30</v>
      </c>
      <c r="D134" s="183">
        <v>17</v>
      </c>
    </row>
    <row r="135" spans="1:4" ht="24" customHeight="1">
      <c r="A135" s="308" t="s">
        <v>97</v>
      </c>
      <c r="B135" s="182">
        <v>94</v>
      </c>
      <c r="C135" s="182">
        <v>16</v>
      </c>
      <c r="D135" s="183">
        <v>9</v>
      </c>
    </row>
    <row r="136" spans="1:4" ht="24" customHeight="1">
      <c r="A136" s="308" t="s">
        <v>98</v>
      </c>
      <c r="B136" s="182">
        <v>279</v>
      </c>
      <c r="C136" s="182">
        <v>210</v>
      </c>
      <c r="D136" s="183">
        <v>86</v>
      </c>
    </row>
    <row r="137" spans="1:4" ht="24" customHeight="1">
      <c r="A137" s="95" t="s">
        <v>257</v>
      </c>
      <c r="B137" s="182">
        <v>136</v>
      </c>
      <c r="C137" s="182">
        <v>129</v>
      </c>
      <c r="D137" s="183">
        <v>50</v>
      </c>
    </row>
    <row r="138" spans="1:4" ht="24" customHeight="1">
      <c r="A138" s="95" t="s">
        <v>256</v>
      </c>
      <c r="B138" s="182">
        <v>143</v>
      </c>
      <c r="C138" s="182">
        <v>81</v>
      </c>
      <c r="D138" s="183">
        <v>36</v>
      </c>
    </row>
    <row r="139" spans="1:4" ht="24" customHeight="1">
      <c r="A139" s="308" t="s">
        <v>99</v>
      </c>
      <c r="B139" s="182">
        <v>63</v>
      </c>
      <c r="C139" s="182">
        <v>38</v>
      </c>
      <c r="D139" s="183">
        <v>39</v>
      </c>
    </row>
    <row r="140" spans="1:4" ht="24" customHeight="1">
      <c r="A140" s="308" t="s">
        <v>100</v>
      </c>
      <c r="B140" s="182">
        <v>357</v>
      </c>
      <c r="C140" s="182">
        <v>209</v>
      </c>
      <c r="D140" s="183">
        <v>94</v>
      </c>
    </row>
    <row r="141" spans="1:4" ht="24" customHeight="1">
      <c r="A141" s="95" t="s">
        <v>264</v>
      </c>
      <c r="B141" s="204">
        <v>192</v>
      </c>
      <c r="C141" s="204">
        <v>64</v>
      </c>
      <c r="D141" s="205">
        <v>48</v>
      </c>
    </row>
    <row r="142" spans="1:4" ht="24" customHeight="1">
      <c r="A142" s="95" t="s">
        <v>263</v>
      </c>
      <c r="B142" s="182">
        <v>79</v>
      </c>
      <c r="C142" s="182">
        <v>55</v>
      </c>
      <c r="D142" s="183">
        <v>25</v>
      </c>
    </row>
    <row r="143" spans="1:4" ht="24" customHeight="1">
      <c r="A143" s="95" t="s">
        <v>262</v>
      </c>
      <c r="B143" s="182">
        <v>86</v>
      </c>
      <c r="C143" s="182">
        <v>90</v>
      </c>
      <c r="D143" s="183">
        <v>21</v>
      </c>
    </row>
    <row r="144" spans="1:4" ht="24" customHeight="1">
      <c r="A144" s="308" t="s">
        <v>104</v>
      </c>
      <c r="B144" s="182">
        <v>189</v>
      </c>
      <c r="C144" s="182">
        <v>460</v>
      </c>
      <c r="D144" s="183">
        <v>48</v>
      </c>
    </row>
    <row r="145" spans="1:4" ht="24" customHeight="1">
      <c r="A145" s="308" t="s">
        <v>16</v>
      </c>
      <c r="B145" s="182">
        <v>562</v>
      </c>
      <c r="C145" s="182">
        <v>330</v>
      </c>
      <c r="D145" s="183">
        <v>52</v>
      </c>
    </row>
    <row r="146" spans="1:4" ht="24" customHeight="1">
      <c r="A146" s="308" t="s">
        <v>105</v>
      </c>
      <c r="B146" s="182">
        <v>170</v>
      </c>
      <c r="C146" s="182">
        <v>159</v>
      </c>
      <c r="D146" s="183">
        <v>35</v>
      </c>
    </row>
    <row r="147" spans="1:4" ht="24" customHeight="1">
      <c r="A147" s="308" t="s">
        <v>106</v>
      </c>
      <c r="B147" s="182">
        <v>156</v>
      </c>
      <c r="C147" s="182">
        <v>167</v>
      </c>
      <c r="D147" s="183">
        <v>36</v>
      </c>
    </row>
    <row r="148" spans="1:4" ht="24" customHeight="1">
      <c r="A148" s="95" t="s">
        <v>943</v>
      </c>
      <c r="B148" s="182">
        <v>32</v>
      </c>
      <c r="C148" s="182">
        <v>32</v>
      </c>
      <c r="D148" s="183">
        <v>5</v>
      </c>
    </row>
    <row r="149" spans="1:4" ht="24" customHeight="1">
      <c r="A149" s="95" t="s">
        <v>944</v>
      </c>
      <c r="B149" s="182">
        <v>109</v>
      </c>
      <c r="C149" s="182">
        <v>118</v>
      </c>
      <c r="D149" s="183">
        <v>26</v>
      </c>
    </row>
    <row r="150" spans="1:4" ht="24" customHeight="1">
      <c r="A150" s="95" t="s">
        <v>107</v>
      </c>
      <c r="B150" s="182">
        <v>15</v>
      </c>
      <c r="C150" s="182">
        <v>17</v>
      </c>
      <c r="D150" s="183">
        <v>5</v>
      </c>
    </row>
    <row r="151" spans="1:4" ht="24" customHeight="1">
      <c r="A151" s="308" t="s">
        <v>108</v>
      </c>
      <c r="B151" s="182">
        <v>534</v>
      </c>
      <c r="C151" s="182">
        <v>1039</v>
      </c>
      <c r="D151" s="183">
        <v>152</v>
      </c>
    </row>
    <row r="152" spans="1:4" ht="24" customHeight="1">
      <c r="A152" s="308" t="s">
        <v>109</v>
      </c>
      <c r="B152" s="182">
        <v>17</v>
      </c>
      <c r="C152" s="182">
        <v>15</v>
      </c>
      <c r="D152" s="183">
        <v>13</v>
      </c>
    </row>
    <row r="153" spans="1:4" ht="24" customHeight="1">
      <c r="A153" s="308" t="s">
        <v>110</v>
      </c>
      <c r="B153" s="182">
        <v>267</v>
      </c>
      <c r="C153" s="182">
        <v>325</v>
      </c>
      <c r="D153" s="183">
        <v>35</v>
      </c>
    </row>
    <row r="154" spans="1:4" ht="24.65" customHeight="1">
      <c r="A154" s="308" t="s">
        <v>111</v>
      </c>
      <c r="B154" s="182">
        <v>222</v>
      </c>
      <c r="C154" s="182">
        <v>311</v>
      </c>
      <c r="D154" s="183">
        <v>106</v>
      </c>
    </row>
    <row r="155" spans="1:4" ht="36.65" customHeight="1">
      <c r="A155" s="95" t="s">
        <v>261</v>
      </c>
      <c r="B155" s="182">
        <v>40</v>
      </c>
      <c r="C155" s="182">
        <v>72</v>
      </c>
      <c r="D155" s="183">
        <v>32</v>
      </c>
    </row>
    <row r="156" spans="1:4" ht="24" customHeight="1">
      <c r="A156" s="95" t="s">
        <v>253</v>
      </c>
      <c r="B156" s="182">
        <v>32</v>
      </c>
      <c r="C156" s="182">
        <v>32</v>
      </c>
      <c r="D156" s="183">
        <v>10</v>
      </c>
    </row>
    <row r="157" spans="1:4" ht="24" customHeight="1">
      <c r="A157" s="95" t="s">
        <v>252</v>
      </c>
      <c r="B157" s="182">
        <v>108</v>
      </c>
      <c r="C157" s="182">
        <v>133</v>
      </c>
      <c r="D157" s="183">
        <v>47</v>
      </c>
    </row>
    <row r="158" spans="1:4" ht="24" customHeight="1">
      <c r="A158" s="95" t="s">
        <v>260</v>
      </c>
      <c r="B158" s="182">
        <v>34</v>
      </c>
      <c r="C158" s="182">
        <v>57</v>
      </c>
      <c r="D158" s="183">
        <v>14</v>
      </c>
    </row>
    <row r="159" spans="1:4" ht="24" customHeight="1">
      <c r="A159" s="308" t="s">
        <v>117</v>
      </c>
      <c r="B159" s="182">
        <v>5</v>
      </c>
      <c r="C159" s="182">
        <v>18</v>
      </c>
      <c r="D159" s="205" t="s">
        <v>1074</v>
      </c>
    </row>
    <row r="160" spans="1:4" ht="24" customHeight="1">
      <c r="A160" s="308" t="s">
        <v>18</v>
      </c>
      <c r="B160" s="182">
        <v>1276</v>
      </c>
      <c r="C160" s="182">
        <v>327</v>
      </c>
      <c r="D160" s="183">
        <v>148</v>
      </c>
    </row>
    <row r="161" spans="1:4" ht="24" customHeight="1">
      <c r="A161" s="308" t="s">
        <v>251</v>
      </c>
      <c r="B161" s="182">
        <v>7</v>
      </c>
      <c r="C161" s="182">
        <v>2</v>
      </c>
      <c r="D161" s="183">
        <v>2</v>
      </c>
    </row>
    <row r="162" spans="1:4" ht="24" customHeight="1">
      <c r="A162" s="308" t="s">
        <v>19</v>
      </c>
      <c r="B162" s="182">
        <v>1081</v>
      </c>
      <c r="C162" s="182">
        <v>748</v>
      </c>
      <c r="D162" s="183">
        <v>167</v>
      </c>
    </row>
    <row r="163" spans="1:4" ht="24" customHeight="1">
      <c r="A163" s="308" t="s">
        <v>119</v>
      </c>
      <c r="B163" s="204">
        <v>134</v>
      </c>
      <c r="C163" s="204">
        <v>38</v>
      </c>
      <c r="D163" s="205">
        <v>19</v>
      </c>
    </row>
    <row r="164" spans="1:4" ht="24" customHeight="1">
      <c r="A164" s="308" t="s">
        <v>120</v>
      </c>
      <c r="B164" s="182">
        <v>69</v>
      </c>
      <c r="C164" s="182">
        <v>140</v>
      </c>
      <c r="D164" s="183">
        <v>40</v>
      </c>
    </row>
    <row r="165" spans="1:4" ht="24" customHeight="1">
      <c r="A165" s="308" t="s">
        <v>121</v>
      </c>
      <c r="B165" s="182">
        <v>52</v>
      </c>
      <c r="C165" s="182">
        <v>40</v>
      </c>
      <c r="D165" s="183">
        <v>5</v>
      </c>
    </row>
    <row r="166" spans="1:4" s="329" customFormat="1" ht="24" customHeight="1">
      <c r="A166" s="440" t="s">
        <v>1231</v>
      </c>
      <c r="B166" s="204">
        <v>79</v>
      </c>
      <c r="C166" s="204">
        <v>59</v>
      </c>
      <c r="D166" s="205">
        <v>16</v>
      </c>
    </row>
    <row r="167" spans="1:4" ht="24" customHeight="1">
      <c r="A167" s="47" t="s">
        <v>1104</v>
      </c>
      <c r="B167" s="182">
        <v>5</v>
      </c>
      <c r="C167" s="182">
        <v>13</v>
      </c>
      <c r="D167" s="183">
        <v>4</v>
      </c>
    </row>
    <row r="168" spans="1:4" ht="24" customHeight="1">
      <c r="A168" s="308" t="s">
        <v>1105</v>
      </c>
      <c r="B168" s="182">
        <v>61</v>
      </c>
      <c r="C168" s="182">
        <v>43</v>
      </c>
      <c r="D168" s="183">
        <v>11</v>
      </c>
    </row>
    <row r="169" spans="1:4" ht="24" customHeight="1">
      <c r="A169" s="308" t="s">
        <v>1106</v>
      </c>
      <c r="B169" s="182">
        <v>223</v>
      </c>
      <c r="C169" s="182">
        <v>221</v>
      </c>
      <c r="D169" s="183">
        <v>72</v>
      </c>
    </row>
    <row r="170" spans="1:4" ht="24" customHeight="1">
      <c r="A170" s="95" t="s">
        <v>1107</v>
      </c>
      <c r="B170" s="182">
        <v>120</v>
      </c>
      <c r="C170" s="182">
        <v>170</v>
      </c>
      <c r="D170" s="183">
        <v>55</v>
      </c>
    </row>
    <row r="171" spans="1:4" ht="24" customHeight="1">
      <c r="A171" s="95" t="s">
        <v>1108</v>
      </c>
      <c r="B171" s="182">
        <v>100</v>
      </c>
      <c r="C171" s="182">
        <v>48</v>
      </c>
      <c r="D171" s="183">
        <v>15</v>
      </c>
    </row>
    <row r="172" spans="1:4" ht="24" customHeight="1">
      <c r="A172" s="95" t="s">
        <v>1109</v>
      </c>
      <c r="B172" s="182">
        <v>3</v>
      </c>
      <c r="C172" s="182">
        <v>3</v>
      </c>
      <c r="D172" s="183">
        <v>2</v>
      </c>
    </row>
    <row r="173" spans="1:4" ht="24" customHeight="1">
      <c r="A173" s="47" t="s">
        <v>1110</v>
      </c>
      <c r="B173" s="182">
        <v>29</v>
      </c>
      <c r="C173" s="182">
        <v>104</v>
      </c>
      <c r="D173" s="183">
        <v>40</v>
      </c>
    </row>
    <row r="174" spans="1:4" s="437" customFormat="1" ht="24" customHeight="1">
      <c r="A174" s="436" t="s">
        <v>1198</v>
      </c>
      <c r="B174" s="182">
        <v>3</v>
      </c>
      <c r="C174" s="205" t="s">
        <v>1074</v>
      </c>
      <c r="D174" s="205" t="s">
        <v>1074</v>
      </c>
    </row>
    <row r="175" spans="1:4" ht="24" customHeight="1">
      <c r="A175" s="308" t="s">
        <v>1111</v>
      </c>
      <c r="B175" s="182">
        <v>80</v>
      </c>
      <c r="C175" s="182">
        <v>38</v>
      </c>
      <c r="D175" s="183">
        <v>51</v>
      </c>
    </row>
    <row r="176" spans="1:4" ht="24" customHeight="1">
      <c r="A176" s="308" t="s">
        <v>1112</v>
      </c>
      <c r="B176" s="182">
        <v>56</v>
      </c>
      <c r="C176" s="182">
        <v>54</v>
      </c>
      <c r="D176" s="183">
        <v>3</v>
      </c>
    </row>
    <row r="177" spans="1:4" ht="24" customHeight="1">
      <c r="A177" s="308" t="s">
        <v>249</v>
      </c>
      <c r="B177" s="182">
        <v>10830</v>
      </c>
      <c r="C177" s="182">
        <v>851</v>
      </c>
      <c r="D177" s="183">
        <v>878</v>
      </c>
    </row>
    <row r="178" spans="1:4" ht="24" customHeight="1">
      <c r="A178" s="95" t="s">
        <v>132</v>
      </c>
      <c r="B178" s="182">
        <v>10526</v>
      </c>
      <c r="C178" s="182">
        <v>810</v>
      </c>
      <c r="D178" s="183">
        <v>845</v>
      </c>
    </row>
    <row r="179" spans="1:4" ht="24" customHeight="1">
      <c r="A179" s="95" t="s">
        <v>133</v>
      </c>
      <c r="B179" s="182">
        <v>281</v>
      </c>
      <c r="C179" s="182">
        <v>39</v>
      </c>
      <c r="D179" s="183">
        <v>26</v>
      </c>
    </row>
    <row r="180" spans="1:4" ht="24" customHeight="1">
      <c r="A180" s="95" t="s">
        <v>134</v>
      </c>
      <c r="B180" s="182">
        <v>23</v>
      </c>
      <c r="C180" s="182">
        <v>2</v>
      </c>
      <c r="D180" s="183">
        <v>7</v>
      </c>
    </row>
    <row r="181" spans="1:4" ht="24" customHeight="1">
      <c r="A181" s="308" t="s">
        <v>21</v>
      </c>
      <c r="B181" s="182">
        <v>899</v>
      </c>
      <c r="C181" s="182">
        <v>327</v>
      </c>
      <c r="D181" s="183">
        <v>113</v>
      </c>
    </row>
    <row r="182" spans="1:4" ht="24" customHeight="1">
      <c r="A182" s="308" t="s">
        <v>248</v>
      </c>
      <c r="B182" s="182">
        <v>1947</v>
      </c>
      <c r="C182" s="182">
        <v>652</v>
      </c>
      <c r="D182" s="183">
        <v>248</v>
      </c>
    </row>
    <row r="183" spans="1:4" ht="24" customHeight="1">
      <c r="A183" s="95" t="s">
        <v>136</v>
      </c>
      <c r="B183" s="182">
        <v>1865</v>
      </c>
      <c r="C183" s="182">
        <v>626</v>
      </c>
      <c r="D183" s="183">
        <v>236</v>
      </c>
    </row>
    <row r="184" spans="1:4" ht="24" customHeight="1">
      <c r="A184" s="95" t="s">
        <v>137</v>
      </c>
      <c r="B184" s="182">
        <v>82</v>
      </c>
      <c r="C184" s="182">
        <v>26</v>
      </c>
      <c r="D184" s="183">
        <v>12</v>
      </c>
    </row>
    <row r="185" spans="1:4" ht="24" customHeight="1">
      <c r="A185" s="308" t="s">
        <v>138</v>
      </c>
      <c r="B185" s="182">
        <v>13</v>
      </c>
      <c r="C185" s="182">
        <v>12</v>
      </c>
      <c r="D185" s="183">
        <v>1</v>
      </c>
    </row>
    <row r="186" spans="1:4" ht="24" customHeight="1">
      <c r="A186" s="308" t="s">
        <v>139</v>
      </c>
      <c r="B186" s="182">
        <v>96</v>
      </c>
      <c r="C186" s="182">
        <v>103</v>
      </c>
      <c r="D186" s="183">
        <v>11</v>
      </c>
    </row>
    <row r="187" spans="1:4" ht="24" customHeight="1">
      <c r="A187" s="308" t="s">
        <v>1098</v>
      </c>
      <c r="B187" s="182">
        <v>1</v>
      </c>
      <c r="C187" s="182">
        <v>2</v>
      </c>
      <c r="D187" s="205" t="s">
        <v>1074</v>
      </c>
    </row>
    <row r="188" spans="1:4" ht="24" customHeight="1">
      <c r="A188" s="308" t="s">
        <v>1099</v>
      </c>
      <c r="B188" s="205" t="s">
        <v>1074</v>
      </c>
      <c r="C188" s="182">
        <v>1</v>
      </c>
      <c r="D188" s="205" t="s">
        <v>1074</v>
      </c>
    </row>
    <row r="189" spans="1:4" ht="24" customHeight="1">
      <c r="A189" s="308" t="s">
        <v>1100</v>
      </c>
      <c r="B189" s="205" t="s">
        <v>1074</v>
      </c>
      <c r="C189" s="182">
        <v>4</v>
      </c>
      <c r="D189" s="183">
        <v>6</v>
      </c>
    </row>
    <row r="190" spans="1:4" ht="24" customHeight="1">
      <c r="A190" s="308" t="s">
        <v>143</v>
      </c>
      <c r="B190" s="182">
        <v>188</v>
      </c>
      <c r="C190" s="182">
        <v>39</v>
      </c>
      <c r="D190" s="183">
        <v>26</v>
      </c>
    </row>
    <row r="191" spans="1:4" ht="24" customHeight="1">
      <c r="A191" s="308" t="s">
        <v>144</v>
      </c>
      <c r="B191" s="182">
        <v>13</v>
      </c>
      <c r="C191" s="182">
        <v>17</v>
      </c>
      <c r="D191" s="183">
        <v>6</v>
      </c>
    </row>
    <row r="192" spans="1:4" ht="20">
      <c r="A192" s="308" t="s">
        <v>145</v>
      </c>
      <c r="B192" s="182">
        <v>15</v>
      </c>
      <c r="C192" s="182">
        <v>6</v>
      </c>
      <c r="D192" s="183">
        <v>3</v>
      </c>
    </row>
    <row r="193" spans="1:4" ht="24" customHeight="1">
      <c r="A193" s="308" t="s">
        <v>146</v>
      </c>
      <c r="B193" s="182">
        <v>18</v>
      </c>
      <c r="C193" s="182">
        <v>584</v>
      </c>
      <c r="D193" s="183">
        <v>36</v>
      </c>
    </row>
    <row r="194" spans="1:4" ht="24" customHeight="1">
      <c r="A194" s="308" t="s">
        <v>147</v>
      </c>
      <c r="B194" s="182">
        <v>30</v>
      </c>
      <c r="C194" s="182">
        <v>33</v>
      </c>
      <c r="D194" s="183">
        <v>44</v>
      </c>
    </row>
    <row r="195" spans="1:4" ht="37.4" customHeight="1">
      <c r="A195" s="95" t="s">
        <v>1096</v>
      </c>
      <c r="B195" s="174">
        <v>8</v>
      </c>
      <c r="C195" s="174">
        <v>14</v>
      </c>
      <c r="D195" s="175">
        <v>14</v>
      </c>
    </row>
    <row r="196" spans="1:4" ht="24" customHeight="1">
      <c r="A196" s="95" t="s">
        <v>149</v>
      </c>
      <c r="B196" s="182">
        <v>15</v>
      </c>
      <c r="C196" s="182">
        <v>11</v>
      </c>
      <c r="D196" s="183">
        <v>18</v>
      </c>
    </row>
    <row r="197" spans="1:4" ht="24" customHeight="1">
      <c r="A197" s="308" t="s">
        <v>151</v>
      </c>
      <c r="B197" s="182">
        <v>92</v>
      </c>
      <c r="C197" s="182">
        <v>224</v>
      </c>
      <c r="D197" s="183">
        <v>234</v>
      </c>
    </row>
    <row r="198" spans="1:4" ht="24" customHeight="1">
      <c r="A198" s="308" t="s">
        <v>152</v>
      </c>
      <c r="B198" s="182">
        <v>1110</v>
      </c>
      <c r="C198" s="182">
        <v>1010</v>
      </c>
      <c r="D198" s="183">
        <v>138</v>
      </c>
    </row>
    <row r="199" spans="1:4" ht="35.25" customHeight="1">
      <c r="A199" s="95" t="s">
        <v>1093</v>
      </c>
      <c r="B199" s="174">
        <v>1065</v>
      </c>
      <c r="C199" s="174">
        <v>963</v>
      </c>
      <c r="D199" s="175">
        <v>133</v>
      </c>
    </row>
    <row r="200" spans="1:4" ht="36" customHeight="1">
      <c r="A200" s="95" t="s">
        <v>1117</v>
      </c>
      <c r="B200" s="182">
        <v>10</v>
      </c>
      <c r="C200" s="182">
        <v>15</v>
      </c>
      <c r="D200" s="183">
        <v>2</v>
      </c>
    </row>
    <row r="201" spans="1:4" ht="24" customHeight="1">
      <c r="A201" s="308" t="s">
        <v>1101</v>
      </c>
      <c r="B201" s="182">
        <v>3</v>
      </c>
      <c r="C201" s="182">
        <v>3</v>
      </c>
      <c r="D201" s="183">
        <v>3</v>
      </c>
    </row>
    <row r="202" spans="1:4" ht="24" customHeight="1">
      <c r="A202" s="308" t="s">
        <v>157</v>
      </c>
      <c r="B202" s="182">
        <v>22</v>
      </c>
      <c r="C202" s="182">
        <v>16</v>
      </c>
      <c r="D202" s="183">
        <v>15</v>
      </c>
    </row>
    <row r="203" spans="1:4" ht="24" customHeight="1">
      <c r="A203" s="95" t="s">
        <v>259</v>
      </c>
      <c r="B203" s="182">
        <v>15</v>
      </c>
      <c r="C203" s="182">
        <v>11</v>
      </c>
      <c r="D203" s="183">
        <v>15</v>
      </c>
    </row>
    <row r="204" spans="1:4" ht="24" customHeight="1">
      <c r="A204" s="308" t="s">
        <v>1102</v>
      </c>
      <c r="B204" s="205" t="s">
        <v>1074</v>
      </c>
      <c r="C204" s="205" t="s">
        <v>1074</v>
      </c>
      <c r="D204" s="183">
        <v>2</v>
      </c>
    </row>
    <row r="205" spans="1:4" ht="24" customHeight="1">
      <c r="A205" s="210" t="s">
        <v>947</v>
      </c>
      <c r="B205" s="182">
        <v>145</v>
      </c>
      <c r="C205" s="182">
        <v>165</v>
      </c>
      <c r="D205" s="183">
        <v>103</v>
      </c>
    </row>
    <row r="206" spans="1:4" ht="24" customHeight="1">
      <c r="A206" s="308" t="s">
        <v>159</v>
      </c>
      <c r="B206" s="182">
        <v>34</v>
      </c>
      <c r="C206" s="182">
        <v>61</v>
      </c>
      <c r="D206" s="183">
        <v>25</v>
      </c>
    </row>
    <row r="207" spans="1:4" ht="31.75" customHeight="1">
      <c r="A207" s="95" t="s">
        <v>1094</v>
      </c>
      <c r="B207" s="174">
        <v>7</v>
      </c>
      <c r="C207" s="174">
        <v>17</v>
      </c>
      <c r="D207" s="175">
        <v>10</v>
      </c>
    </row>
    <row r="208" spans="1:4" ht="24" customHeight="1">
      <c r="A208" s="308" t="s">
        <v>163</v>
      </c>
      <c r="B208" s="182">
        <v>63</v>
      </c>
      <c r="C208" s="182">
        <v>86</v>
      </c>
      <c r="D208" s="183">
        <v>23</v>
      </c>
    </row>
    <row r="209" spans="1:5" ht="24" customHeight="1">
      <c r="A209" s="95" t="s">
        <v>164</v>
      </c>
      <c r="B209" s="182">
        <v>14</v>
      </c>
      <c r="C209" s="182">
        <v>43</v>
      </c>
      <c r="D209" s="183">
        <v>10</v>
      </c>
    </row>
    <row r="210" spans="1:5" ht="24" customHeight="1">
      <c r="A210" s="95" t="s">
        <v>165</v>
      </c>
      <c r="B210" s="182">
        <v>12</v>
      </c>
      <c r="C210" s="182">
        <v>7</v>
      </c>
      <c r="D210" s="183">
        <v>3</v>
      </c>
    </row>
    <row r="211" spans="1:5" ht="24" customHeight="1">
      <c r="A211" s="95" t="s">
        <v>166</v>
      </c>
      <c r="B211" s="182">
        <v>37</v>
      </c>
      <c r="C211" s="182">
        <v>36</v>
      </c>
      <c r="D211" s="183">
        <v>10</v>
      </c>
    </row>
    <row r="212" spans="1:5" ht="24" customHeight="1">
      <c r="A212" s="308" t="s">
        <v>167</v>
      </c>
      <c r="B212" s="182">
        <v>273</v>
      </c>
      <c r="C212" s="182">
        <v>337</v>
      </c>
      <c r="D212" s="183">
        <v>55</v>
      </c>
    </row>
    <row r="213" spans="1:5" ht="24" customHeight="1">
      <c r="A213" s="95" t="s">
        <v>168</v>
      </c>
      <c r="B213" s="182">
        <v>183</v>
      </c>
      <c r="C213" s="182">
        <v>242</v>
      </c>
      <c r="D213" s="183">
        <v>36</v>
      </c>
    </row>
    <row r="214" spans="1:5" ht="24" customHeight="1">
      <c r="A214" s="95" t="s">
        <v>169</v>
      </c>
      <c r="B214" s="182">
        <v>90</v>
      </c>
      <c r="C214" s="182">
        <v>95</v>
      </c>
      <c r="D214" s="183">
        <v>19</v>
      </c>
    </row>
    <row r="215" spans="1:5" ht="24" customHeight="1">
      <c r="A215" s="308" t="s">
        <v>24</v>
      </c>
      <c r="B215" s="182">
        <v>355</v>
      </c>
      <c r="C215" s="182">
        <v>1265</v>
      </c>
      <c r="D215" s="183">
        <v>834</v>
      </c>
    </row>
    <row r="216" spans="1:5" ht="24" customHeight="1">
      <c r="A216" s="308" t="s">
        <v>170</v>
      </c>
      <c r="B216" s="182">
        <v>39</v>
      </c>
      <c r="C216" s="182">
        <v>39</v>
      </c>
      <c r="D216" s="183">
        <v>6</v>
      </c>
    </row>
    <row r="217" spans="1:5" ht="24" customHeight="1">
      <c r="A217" s="308" t="s">
        <v>171</v>
      </c>
      <c r="B217" s="182">
        <v>183</v>
      </c>
      <c r="C217" s="182">
        <v>581</v>
      </c>
      <c r="D217" s="183">
        <v>129</v>
      </c>
    </row>
    <row r="218" spans="1:5" ht="24" customHeight="1">
      <c r="A218" s="308" t="s">
        <v>172</v>
      </c>
      <c r="B218" s="182">
        <v>196</v>
      </c>
      <c r="C218" s="182">
        <v>142</v>
      </c>
      <c r="D218" s="183">
        <v>29</v>
      </c>
    </row>
    <row r="219" spans="1:5" ht="24" customHeight="1">
      <c r="A219" s="440" t="s">
        <v>1344</v>
      </c>
      <c r="B219" s="481">
        <v>202</v>
      </c>
      <c r="C219" s="481">
        <v>406</v>
      </c>
      <c r="D219" s="482">
        <v>81</v>
      </c>
    </row>
    <row r="220" spans="1:5" ht="24" customHeight="1">
      <c r="A220" s="95" t="s">
        <v>1345</v>
      </c>
      <c r="B220" s="182">
        <v>110</v>
      </c>
      <c r="C220" s="182">
        <v>245</v>
      </c>
      <c r="D220" s="183">
        <v>57</v>
      </c>
    </row>
    <row r="221" spans="1:5" ht="24" customHeight="1">
      <c r="A221" s="95" t="s">
        <v>1346</v>
      </c>
      <c r="B221" s="182">
        <v>92</v>
      </c>
      <c r="C221" s="182">
        <v>161</v>
      </c>
      <c r="D221" s="183">
        <v>24</v>
      </c>
    </row>
    <row r="222" spans="1:5" ht="20">
      <c r="A222" s="308" t="s">
        <v>173</v>
      </c>
      <c r="B222" s="182">
        <v>364</v>
      </c>
      <c r="C222" s="182">
        <v>370</v>
      </c>
      <c r="D222" s="183">
        <v>90</v>
      </c>
    </row>
    <row r="223" spans="1:5" ht="24" customHeight="1">
      <c r="A223" s="308" t="s">
        <v>25</v>
      </c>
      <c r="B223" s="182">
        <v>403</v>
      </c>
      <c r="C223" s="182">
        <v>474</v>
      </c>
      <c r="D223" s="183">
        <v>272</v>
      </c>
      <c r="E223" s="41"/>
    </row>
    <row r="224" spans="1:5" ht="24" customHeight="1">
      <c r="A224" s="308" t="s">
        <v>174</v>
      </c>
      <c r="B224" s="182">
        <v>75</v>
      </c>
      <c r="C224" s="182">
        <v>31</v>
      </c>
      <c r="D224" s="183">
        <v>6</v>
      </c>
      <c r="E224" s="41"/>
    </row>
    <row r="225" spans="1:5" ht="24" customHeight="1">
      <c r="A225" s="308" t="s">
        <v>175</v>
      </c>
      <c r="B225" s="183">
        <v>14</v>
      </c>
      <c r="C225" s="183">
        <v>100</v>
      </c>
      <c r="D225" s="183">
        <v>23</v>
      </c>
      <c r="E225" s="41"/>
    </row>
    <row r="226" spans="1:5" ht="24" customHeight="1">
      <c r="A226" s="308" t="s">
        <v>176</v>
      </c>
      <c r="B226" s="183">
        <v>5</v>
      </c>
      <c r="C226" s="183">
        <v>2</v>
      </c>
      <c r="D226" s="183">
        <v>7</v>
      </c>
      <c r="E226" s="41"/>
    </row>
    <row r="227" spans="1:5" ht="24" customHeight="1">
      <c r="A227" s="308" t="s">
        <v>177</v>
      </c>
      <c r="B227" s="183">
        <v>84</v>
      </c>
      <c r="C227" s="183">
        <v>86</v>
      </c>
      <c r="D227" s="183">
        <v>15</v>
      </c>
      <c r="E227" s="41"/>
    </row>
    <row r="228" spans="1:5" ht="24" customHeight="1">
      <c r="A228" s="308" t="s">
        <v>178</v>
      </c>
      <c r="B228" s="183">
        <v>54</v>
      </c>
      <c r="C228" s="183">
        <v>86</v>
      </c>
      <c r="D228" s="183">
        <v>13</v>
      </c>
      <c r="E228" s="41"/>
    </row>
    <row r="229" spans="1:5" ht="24" customHeight="1">
      <c r="A229" s="308" t="s">
        <v>1103</v>
      </c>
      <c r="B229" s="183">
        <v>20</v>
      </c>
      <c r="C229" s="183">
        <v>32</v>
      </c>
      <c r="D229" s="183">
        <v>7</v>
      </c>
      <c r="E229" s="41"/>
    </row>
    <row r="230" spans="1:5" ht="24" customHeight="1">
      <c r="A230" s="308" t="s">
        <v>180</v>
      </c>
      <c r="B230" s="183">
        <v>248</v>
      </c>
      <c r="C230" s="183">
        <v>325</v>
      </c>
      <c r="D230" s="183">
        <v>50</v>
      </c>
      <c r="E230" s="41"/>
    </row>
    <row r="231" spans="1:5" ht="24" customHeight="1">
      <c r="A231" s="95" t="s">
        <v>181</v>
      </c>
      <c r="B231" s="183">
        <v>101</v>
      </c>
      <c r="C231" s="183">
        <v>103</v>
      </c>
      <c r="D231" s="183">
        <v>12</v>
      </c>
      <c r="E231" s="41"/>
    </row>
    <row r="232" spans="1:5" ht="24" customHeight="1">
      <c r="A232" s="95" t="s">
        <v>182</v>
      </c>
      <c r="B232" s="183">
        <v>98</v>
      </c>
      <c r="C232" s="183">
        <v>143</v>
      </c>
      <c r="D232" s="183">
        <v>18</v>
      </c>
      <c r="E232" s="41"/>
    </row>
    <row r="233" spans="1:5" s="329" customFormat="1" ht="24" customHeight="1">
      <c r="A233" s="441" t="s">
        <v>1234</v>
      </c>
      <c r="B233" s="182">
        <v>38</v>
      </c>
      <c r="C233" s="182">
        <v>66</v>
      </c>
      <c r="D233" s="183">
        <v>15</v>
      </c>
    </row>
    <row r="234" spans="1:5" ht="24" customHeight="1">
      <c r="A234" s="95" t="s">
        <v>183</v>
      </c>
      <c r="B234" s="183">
        <v>11</v>
      </c>
      <c r="C234" s="183">
        <v>13</v>
      </c>
      <c r="D234" s="183">
        <v>5</v>
      </c>
      <c r="E234" s="41"/>
    </row>
    <row r="235" spans="1:5" ht="24" customHeight="1">
      <c r="A235" s="308" t="s">
        <v>184</v>
      </c>
      <c r="B235" s="183">
        <v>278</v>
      </c>
      <c r="C235" s="183">
        <v>296</v>
      </c>
      <c r="D235" s="183">
        <v>141</v>
      </c>
      <c r="E235" s="41"/>
    </row>
    <row r="236" spans="1:5" ht="24" customHeight="1">
      <c r="A236" s="95" t="s">
        <v>258</v>
      </c>
      <c r="B236" s="175">
        <v>254</v>
      </c>
      <c r="C236" s="175">
        <v>249</v>
      </c>
      <c r="D236" s="175">
        <v>115</v>
      </c>
      <c r="E236" s="41"/>
    </row>
    <row r="237" spans="1:5" ht="24" customHeight="1">
      <c r="A237" s="95" t="s">
        <v>989</v>
      </c>
      <c r="B237" s="183">
        <v>1</v>
      </c>
      <c r="C237" s="183">
        <v>3</v>
      </c>
      <c r="D237" s="183">
        <v>5</v>
      </c>
      <c r="E237" s="41"/>
    </row>
    <row r="238" spans="1:5" ht="24" customHeight="1">
      <c r="A238" s="308" t="s">
        <v>1095</v>
      </c>
      <c r="B238" s="51">
        <v>382</v>
      </c>
      <c r="C238" s="51">
        <v>445</v>
      </c>
      <c r="D238" s="51">
        <v>212</v>
      </c>
      <c r="E238" s="41"/>
    </row>
    <row r="239" spans="1:5" ht="24" customHeight="1">
      <c r="A239" s="308"/>
      <c r="B239" s="53"/>
      <c r="C239" s="53"/>
      <c r="D239" s="53"/>
      <c r="E239" s="41"/>
    </row>
    <row r="240" spans="1:5" ht="25.4" customHeight="1">
      <c r="A240" s="576" t="s">
        <v>942</v>
      </c>
      <c r="B240" s="577"/>
      <c r="C240" s="577"/>
      <c r="D240" s="577"/>
      <c r="E240" s="89"/>
    </row>
    <row r="241" spans="1:5" ht="26.5" customHeight="1">
      <c r="A241" s="578" t="s">
        <v>247</v>
      </c>
      <c r="B241" s="579"/>
      <c r="C241" s="579"/>
      <c r="D241" s="579"/>
      <c r="E241" s="107"/>
    </row>
  </sheetData>
  <mergeCells count="7">
    <mergeCell ref="A1:D1"/>
    <mergeCell ref="A2:D2"/>
    <mergeCell ref="A240:D240"/>
    <mergeCell ref="A241:D241"/>
    <mergeCell ref="A122:D122"/>
    <mergeCell ref="A5:D5"/>
    <mergeCell ref="C3:D3"/>
  </mergeCells>
  <hyperlinks>
    <hyperlink ref="C3" location="'Spis tablic'!A4" display="Powrót do spisu treści" xr:uid="{00000000-0004-0000-1400-000000000000}"/>
    <hyperlink ref="C3:D3" location="'Spis tablic  List of tables'!A43" display="'Spis tablic  List of tables'!A43" xr:uid="{00000000-0004-0000-1400-000001000000}"/>
  </hyperlinks>
  <pageMargins left="0.7" right="0.7" top="0.75" bottom="0.75" header="0.3" footer="0.3"/>
  <pageSetup paperSize="9" scale="10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95"/>
  <sheetViews>
    <sheetView zoomScaleNormal="100" workbookViewId="0">
      <pane ySplit="7" topLeftCell="A8" activePane="bottomLeft" state="frozen"/>
      <selection activeCell="G12" sqref="G12"/>
      <selection pane="bottomLeft" activeCell="G3" sqref="G3:H3"/>
    </sheetView>
  </sheetViews>
  <sheetFormatPr defaultColWidth="9.1796875" defaultRowHeight="14.5"/>
  <cols>
    <col min="1" max="1" width="41.1796875" style="138" bestFit="1" customWidth="1"/>
    <col min="2" max="8" width="12.7265625" style="138" customWidth="1"/>
    <col min="9" max="9" width="11.54296875" style="138" customWidth="1"/>
    <col min="10" max="16384" width="9.1796875" style="138"/>
  </cols>
  <sheetData>
    <row r="1" spans="1:11" ht="22.5" customHeight="1">
      <c r="A1" s="581" t="s">
        <v>1361</v>
      </c>
      <c r="B1" s="582"/>
      <c r="C1" s="582"/>
      <c r="D1" s="582"/>
      <c r="E1" s="582"/>
      <c r="F1" s="582"/>
      <c r="G1" s="582"/>
      <c r="H1" s="582"/>
      <c r="I1" s="155"/>
      <c r="J1" s="155"/>
      <c r="K1" s="156"/>
    </row>
    <row r="2" spans="1:11" ht="14.25" customHeight="1">
      <c r="A2" s="583" t="s">
        <v>1362</v>
      </c>
      <c r="B2" s="583"/>
      <c r="C2" s="583"/>
      <c r="D2" s="583"/>
      <c r="E2" s="583"/>
      <c r="F2" s="583"/>
      <c r="G2" s="583"/>
      <c r="H2" s="583"/>
      <c r="I2" s="155"/>
      <c r="J2" s="155"/>
      <c r="K2" s="156"/>
    </row>
    <row r="3" spans="1:11" customFormat="1" ht="25.75" customHeight="1">
      <c r="D3" s="138"/>
      <c r="E3" s="158"/>
      <c r="F3" s="154"/>
      <c r="G3" s="580" t="s">
        <v>5</v>
      </c>
      <c r="H3" s="580"/>
    </row>
    <row r="4" spans="1:11" ht="26.5" customHeight="1">
      <c r="A4" s="584" t="s">
        <v>445</v>
      </c>
      <c r="B4" s="539" t="s">
        <v>34</v>
      </c>
      <c r="C4" s="539" t="s">
        <v>446</v>
      </c>
      <c r="D4" s="539" t="s">
        <v>1137</v>
      </c>
      <c r="E4" s="543" t="s">
        <v>447</v>
      </c>
      <c r="F4" s="544"/>
      <c r="G4" s="544"/>
      <c r="H4" s="544"/>
      <c r="I4" s="143"/>
    </row>
    <row r="5" spans="1:11" ht="27" customHeight="1">
      <c r="A5" s="552"/>
      <c r="B5" s="551"/>
      <c r="C5" s="551"/>
      <c r="D5" s="551"/>
      <c r="E5" s="541" t="s">
        <v>279</v>
      </c>
      <c r="F5" s="543" t="s">
        <v>448</v>
      </c>
      <c r="G5" s="544"/>
      <c r="H5" s="544"/>
      <c r="I5" s="143"/>
    </row>
    <row r="6" spans="1:11" ht="24.75" customHeight="1">
      <c r="A6" s="552"/>
      <c r="B6" s="551"/>
      <c r="C6" s="551"/>
      <c r="D6" s="551"/>
      <c r="E6" s="586"/>
      <c r="F6" s="539" t="s">
        <v>449</v>
      </c>
      <c r="G6" s="543" t="s">
        <v>450</v>
      </c>
      <c r="H6" s="544"/>
      <c r="I6" s="143"/>
    </row>
    <row r="7" spans="1:11" ht="38.5" customHeight="1">
      <c r="A7" s="585"/>
      <c r="B7" s="540"/>
      <c r="C7" s="540"/>
      <c r="D7" s="540"/>
      <c r="E7" s="542"/>
      <c r="F7" s="540"/>
      <c r="G7" s="44" t="s">
        <v>451</v>
      </c>
      <c r="H7" s="45" t="s">
        <v>452</v>
      </c>
      <c r="I7" s="143"/>
    </row>
    <row r="8" spans="1:11" ht="22.75" customHeight="1">
      <c r="A8" s="248" t="s">
        <v>1190</v>
      </c>
      <c r="B8" s="186">
        <v>14476</v>
      </c>
      <c r="C8" s="188">
        <v>22149</v>
      </c>
      <c r="D8" s="188">
        <v>1098851</v>
      </c>
      <c r="E8" s="188">
        <v>1111903</v>
      </c>
      <c r="F8" s="188">
        <v>305868</v>
      </c>
      <c r="G8" s="188">
        <v>789118</v>
      </c>
      <c r="H8" s="188">
        <v>246488</v>
      </c>
      <c r="I8" s="143"/>
    </row>
    <row r="9" spans="1:11" ht="14.25" customHeight="1">
      <c r="A9" s="254">
        <v>2024</v>
      </c>
      <c r="B9" s="172">
        <v>16612</v>
      </c>
      <c r="C9" s="185">
        <v>25233</v>
      </c>
      <c r="D9" s="185">
        <v>1395168</v>
      </c>
      <c r="E9" s="185">
        <v>1446609</v>
      </c>
      <c r="F9" s="185">
        <v>404643</v>
      </c>
      <c r="G9" s="185">
        <v>1049701</v>
      </c>
      <c r="H9" s="185">
        <v>324875</v>
      </c>
      <c r="I9" s="143"/>
    </row>
    <row r="10" spans="1:11" ht="14.25" customHeight="1">
      <c r="A10" s="255" t="s">
        <v>453</v>
      </c>
      <c r="B10" s="186">
        <v>1535</v>
      </c>
      <c r="C10" s="188">
        <v>2093</v>
      </c>
      <c r="D10" s="188">
        <v>120663</v>
      </c>
      <c r="E10" s="188">
        <v>122634</v>
      </c>
      <c r="F10" s="188">
        <v>30853</v>
      </c>
      <c r="G10" s="188">
        <v>84121</v>
      </c>
      <c r="H10" s="188">
        <v>24397</v>
      </c>
      <c r="I10" s="143"/>
    </row>
    <row r="11" spans="1:11" ht="14.25" customHeight="1">
      <c r="A11" s="157" t="s">
        <v>454</v>
      </c>
      <c r="B11" s="186">
        <v>1535</v>
      </c>
      <c r="C11" s="188">
        <v>2093</v>
      </c>
      <c r="D11" s="188">
        <v>120663</v>
      </c>
      <c r="E11" s="188">
        <v>122634</v>
      </c>
      <c r="F11" s="188">
        <v>30853</v>
      </c>
      <c r="G11" s="188">
        <v>84121</v>
      </c>
      <c r="H11" s="188">
        <v>24397</v>
      </c>
      <c r="I11" s="143"/>
    </row>
    <row r="12" spans="1:11" ht="14.25" customHeight="1">
      <c r="A12" s="157" t="s">
        <v>455</v>
      </c>
      <c r="B12" s="186">
        <v>325</v>
      </c>
      <c r="C12" s="188">
        <v>445</v>
      </c>
      <c r="D12" s="188">
        <v>21875</v>
      </c>
      <c r="E12" s="188">
        <v>22112</v>
      </c>
      <c r="F12" s="188">
        <v>4963</v>
      </c>
      <c r="G12" s="188">
        <v>13832</v>
      </c>
      <c r="H12" s="188">
        <v>3981</v>
      </c>
      <c r="I12" s="143"/>
    </row>
    <row r="13" spans="1:11" ht="14.25" customHeight="1">
      <c r="A13" s="157" t="s">
        <v>456</v>
      </c>
      <c r="B13" s="186">
        <v>49</v>
      </c>
      <c r="C13" s="188">
        <v>64</v>
      </c>
      <c r="D13" s="188">
        <v>2944</v>
      </c>
      <c r="E13" s="188">
        <v>3051</v>
      </c>
      <c r="F13" s="188">
        <v>562</v>
      </c>
      <c r="G13" s="188">
        <v>2283</v>
      </c>
      <c r="H13" s="188">
        <v>521</v>
      </c>
      <c r="I13" s="143"/>
    </row>
    <row r="14" spans="1:11" ht="14.25" customHeight="1">
      <c r="A14" s="157" t="s">
        <v>457</v>
      </c>
      <c r="B14" s="186">
        <v>30</v>
      </c>
      <c r="C14" s="188">
        <v>46</v>
      </c>
      <c r="D14" s="188">
        <v>1909</v>
      </c>
      <c r="E14" s="188">
        <v>2176</v>
      </c>
      <c r="F14" s="188">
        <v>503</v>
      </c>
      <c r="G14" s="188">
        <v>1161</v>
      </c>
      <c r="H14" s="188">
        <v>350</v>
      </c>
      <c r="I14" s="143"/>
    </row>
    <row r="15" spans="1:11" ht="14.25" customHeight="1">
      <c r="A15" s="157" t="s">
        <v>990</v>
      </c>
      <c r="B15" s="186">
        <v>38</v>
      </c>
      <c r="C15" s="188">
        <v>54</v>
      </c>
      <c r="D15" s="188">
        <v>1977</v>
      </c>
      <c r="E15" s="188">
        <v>1933</v>
      </c>
      <c r="F15" s="188">
        <v>544</v>
      </c>
      <c r="G15" s="188">
        <v>1317</v>
      </c>
      <c r="H15" s="188">
        <v>454</v>
      </c>
      <c r="I15" s="143"/>
    </row>
    <row r="16" spans="1:11" ht="14.25" customHeight="1">
      <c r="A16" s="157" t="s">
        <v>458</v>
      </c>
      <c r="B16" s="186">
        <v>22</v>
      </c>
      <c r="C16" s="188">
        <v>32</v>
      </c>
      <c r="D16" s="188">
        <v>1370</v>
      </c>
      <c r="E16" s="188">
        <v>1199</v>
      </c>
      <c r="F16" s="188">
        <v>197</v>
      </c>
      <c r="G16" s="188">
        <v>599</v>
      </c>
      <c r="H16" s="188">
        <v>128</v>
      </c>
      <c r="I16" s="143"/>
    </row>
    <row r="17" spans="1:9" ht="14.25" customHeight="1">
      <c r="A17" s="157" t="s">
        <v>459</v>
      </c>
      <c r="B17" s="186">
        <v>30</v>
      </c>
      <c r="C17" s="188">
        <v>36</v>
      </c>
      <c r="D17" s="188">
        <v>1850</v>
      </c>
      <c r="E17" s="188">
        <v>1841</v>
      </c>
      <c r="F17" s="188">
        <v>419</v>
      </c>
      <c r="G17" s="188">
        <v>1374</v>
      </c>
      <c r="H17" s="188">
        <v>386</v>
      </c>
      <c r="I17" s="143"/>
    </row>
    <row r="18" spans="1:9" ht="14.25" customHeight="1">
      <c r="A18" s="157" t="s">
        <v>460</v>
      </c>
      <c r="B18" s="186">
        <v>18</v>
      </c>
      <c r="C18" s="188">
        <v>20</v>
      </c>
      <c r="D18" s="188">
        <v>705</v>
      </c>
      <c r="E18" s="188">
        <v>698</v>
      </c>
      <c r="F18" s="188">
        <v>86</v>
      </c>
      <c r="G18" s="188">
        <v>368</v>
      </c>
      <c r="H18" s="188">
        <v>83</v>
      </c>
      <c r="I18" s="143"/>
    </row>
    <row r="19" spans="1:9" ht="14.25" customHeight="1">
      <c r="A19" s="157" t="s">
        <v>461</v>
      </c>
      <c r="B19" s="186">
        <v>54</v>
      </c>
      <c r="C19" s="188">
        <v>70</v>
      </c>
      <c r="D19" s="188">
        <v>3405</v>
      </c>
      <c r="E19" s="188">
        <v>3558</v>
      </c>
      <c r="F19" s="188">
        <v>974</v>
      </c>
      <c r="G19" s="188">
        <v>2755</v>
      </c>
      <c r="H19" s="188">
        <v>885</v>
      </c>
      <c r="I19" s="143"/>
    </row>
    <row r="20" spans="1:9" ht="14.25" customHeight="1">
      <c r="A20" s="157" t="s">
        <v>462</v>
      </c>
      <c r="B20" s="186">
        <v>31</v>
      </c>
      <c r="C20" s="188">
        <v>55</v>
      </c>
      <c r="D20" s="188">
        <v>3669</v>
      </c>
      <c r="E20" s="188">
        <v>3533</v>
      </c>
      <c r="F20" s="188">
        <v>550</v>
      </c>
      <c r="G20" s="188">
        <v>772</v>
      </c>
      <c r="H20" s="188">
        <v>302</v>
      </c>
      <c r="I20" s="143"/>
    </row>
    <row r="21" spans="1:9" ht="14.25" customHeight="1">
      <c r="A21" s="157" t="s">
        <v>463</v>
      </c>
      <c r="B21" s="186">
        <v>53</v>
      </c>
      <c r="C21" s="188">
        <v>68</v>
      </c>
      <c r="D21" s="188">
        <v>4046</v>
      </c>
      <c r="E21" s="188">
        <v>4123</v>
      </c>
      <c r="F21" s="188">
        <v>1128</v>
      </c>
      <c r="G21" s="188">
        <v>3203</v>
      </c>
      <c r="H21" s="188">
        <v>872</v>
      </c>
      <c r="I21" s="143"/>
    </row>
    <row r="22" spans="1:9" ht="14.25" customHeight="1">
      <c r="A22" s="157" t="s">
        <v>464</v>
      </c>
      <c r="B22" s="186">
        <v>225</v>
      </c>
      <c r="C22" s="188">
        <v>294</v>
      </c>
      <c r="D22" s="188">
        <v>16636</v>
      </c>
      <c r="E22" s="188">
        <v>17525</v>
      </c>
      <c r="F22" s="188">
        <v>3936</v>
      </c>
      <c r="G22" s="188">
        <v>12080</v>
      </c>
      <c r="H22" s="188">
        <v>3252</v>
      </c>
      <c r="I22" s="143"/>
    </row>
    <row r="23" spans="1:9" ht="14.25" customHeight="1">
      <c r="A23" s="157" t="s">
        <v>465</v>
      </c>
      <c r="B23" s="186">
        <v>38</v>
      </c>
      <c r="C23" s="188">
        <v>57</v>
      </c>
      <c r="D23" s="188">
        <v>3394</v>
      </c>
      <c r="E23" s="188">
        <v>3705</v>
      </c>
      <c r="F23" s="188">
        <v>655</v>
      </c>
      <c r="G23" s="188">
        <v>2076</v>
      </c>
      <c r="H23" s="188">
        <v>552</v>
      </c>
      <c r="I23" s="143"/>
    </row>
    <row r="24" spans="1:9" ht="14.25" customHeight="1">
      <c r="A24" s="157" t="s">
        <v>466</v>
      </c>
      <c r="B24" s="186">
        <v>20</v>
      </c>
      <c r="C24" s="188">
        <v>35</v>
      </c>
      <c r="D24" s="188">
        <v>1235</v>
      </c>
      <c r="E24" s="188">
        <v>1241</v>
      </c>
      <c r="F24" s="188">
        <v>281</v>
      </c>
      <c r="G24" s="188">
        <v>742</v>
      </c>
      <c r="H24" s="188">
        <v>187</v>
      </c>
      <c r="I24" s="143"/>
    </row>
    <row r="25" spans="1:9" ht="14.25" customHeight="1">
      <c r="A25" s="157" t="s">
        <v>467</v>
      </c>
      <c r="B25" s="186">
        <v>37</v>
      </c>
      <c r="C25" s="188">
        <v>43</v>
      </c>
      <c r="D25" s="188">
        <v>2195</v>
      </c>
      <c r="E25" s="188">
        <v>2249</v>
      </c>
      <c r="F25" s="188">
        <v>389</v>
      </c>
      <c r="G25" s="188">
        <v>1553</v>
      </c>
      <c r="H25" s="188">
        <v>379</v>
      </c>
      <c r="I25" s="143"/>
    </row>
    <row r="26" spans="1:9" ht="14.25" customHeight="1">
      <c r="A26" s="157" t="s">
        <v>468</v>
      </c>
      <c r="B26" s="186">
        <v>55</v>
      </c>
      <c r="C26" s="188">
        <v>63</v>
      </c>
      <c r="D26" s="188">
        <v>4201</v>
      </c>
      <c r="E26" s="188">
        <v>4196</v>
      </c>
      <c r="F26" s="188">
        <v>1319</v>
      </c>
      <c r="G26" s="188">
        <v>3169</v>
      </c>
      <c r="H26" s="188">
        <v>1145</v>
      </c>
      <c r="I26" s="143"/>
    </row>
    <row r="27" spans="1:9" ht="14.25" customHeight="1">
      <c r="A27" s="157" t="s">
        <v>469</v>
      </c>
      <c r="B27" s="186">
        <v>37</v>
      </c>
      <c r="C27" s="188">
        <v>50</v>
      </c>
      <c r="D27" s="188">
        <v>2872</v>
      </c>
      <c r="E27" s="188">
        <v>3174</v>
      </c>
      <c r="F27" s="188">
        <v>628</v>
      </c>
      <c r="G27" s="188">
        <v>2061</v>
      </c>
      <c r="H27" s="188">
        <v>471</v>
      </c>
      <c r="I27" s="143"/>
    </row>
    <row r="28" spans="1:9" ht="14.25" customHeight="1">
      <c r="A28" s="157" t="s">
        <v>470</v>
      </c>
      <c r="B28" s="186">
        <v>38</v>
      </c>
      <c r="C28" s="188">
        <v>46</v>
      </c>
      <c r="D28" s="188">
        <v>2739</v>
      </c>
      <c r="E28" s="188">
        <v>2960</v>
      </c>
      <c r="F28" s="188">
        <v>664</v>
      </c>
      <c r="G28" s="188">
        <v>2479</v>
      </c>
      <c r="H28" s="188">
        <v>518</v>
      </c>
      <c r="I28" s="143"/>
    </row>
    <row r="29" spans="1:9" ht="14.25" customHeight="1">
      <c r="A29" s="157" t="s">
        <v>471</v>
      </c>
      <c r="B29" s="186">
        <v>364</v>
      </c>
      <c r="C29" s="188">
        <v>504</v>
      </c>
      <c r="D29" s="188">
        <v>25454</v>
      </c>
      <c r="E29" s="188">
        <v>25221</v>
      </c>
      <c r="F29" s="188">
        <v>7549</v>
      </c>
      <c r="G29" s="188">
        <v>17322</v>
      </c>
      <c r="H29" s="188">
        <v>6117</v>
      </c>
      <c r="I29" s="143"/>
    </row>
    <row r="30" spans="1:9" ht="14.25" customHeight="1">
      <c r="A30" s="157" t="s">
        <v>472</v>
      </c>
      <c r="B30" s="186">
        <v>64</v>
      </c>
      <c r="C30" s="188">
        <v>85</v>
      </c>
      <c r="D30" s="188">
        <v>4139</v>
      </c>
      <c r="E30" s="188">
        <v>4384</v>
      </c>
      <c r="F30" s="188">
        <v>1372</v>
      </c>
      <c r="G30" s="188">
        <v>3537</v>
      </c>
      <c r="H30" s="188">
        <v>1196</v>
      </c>
      <c r="I30" s="143"/>
    </row>
    <row r="31" spans="1:9" ht="14.25" customHeight="1">
      <c r="A31" s="157" t="s">
        <v>473</v>
      </c>
      <c r="B31" s="186">
        <v>83</v>
      </c>
      <c r="C31" s="188">
        <v>135</v>
      </c>
      <c r="D31" s="188">
        <v>5639</v>
      </c>
      <c r="E31" s="188">
        <v>5352</v>
      </c>
      <c r="F31" s="188">
        <v>1538</v>
      </c>
      <c r="G31" s="188">
        <v>4072</v>
      </c>
      <c r="H31" s="188">
        <v>1299</v>
      </c>
      <c r="I31" s="143"/>
    </row>
    <row r="32" spans="1:9" ht="14.25" customHeight="1">
      <c r="A32" s="157" t="s">
        <v>474</v>
      </c>
      <c r="B32" s="186">
        <v>96</v>
      </c>
      <c r="C32" s="188">
        <v>130</v>
      </c>
      <c r="D32" s="188">
        <v>7823</v>
      </c>
      <c r="E32" s="188">
        <v>7890</v>
      </c>
      <c r="F32" s="188">
        <v>2141</v>
      </c>
      <c r="G32" s="188">
        <v>4638</v>
      </c>
      <c r="H32" s="188">
        <v>1638</v>
      </c>
      <c r="I32" s="143"/>
    </row>
    <row r="33" spans="1:9" ht="14.25" customHeight="1">
      <c r="A33" s="157" t="s">
        <v>475</v>
      </c>
      <c r="B33" s="186">
        <v>32</v>
      </c>
      <c r="C33" s="188">
        <v>38</v>
      </c>
      <c r="D33" s="188">
        <v>1330</v>
      </c>
      <c r="E33" s="188">
        <v>1298</v>
      </c>
      <c r="F33" s="188">
        <v>357</v>
      </c>
      <c r="G33" s="188">
        <v>770</v>
      </c>
      <c r="H33" s="188">
        <v>236</v>
      </c>
      <c r="I33" s="143"/>
    </row>
    <row r="34" spans="1:9" ht="14.25" customHeight="1">
      <c r="A34" s="157" t="s">
        <v>476</v>
      </c>
      <c r="B34" s="186">
        <v>48</v>
      </c>
      <c r="C34" s="188">
        <v>62</v>
      </c>
      <c r="D34" s="188">
        <v>2829</v>
      </c>
      <c r="E34" s="188">
        <v>2484</v>
      </c>
      <c r="F34" s="188">
        <v>535</v>
      </c>
      <c r="G34" s="188">
        <v>1544</v>
      </c>
      <c r="H34" s="188">
        <v>435</v>
      </c>
      <c r="I34" s="143"/>
    </row>
    <row r="35" spans="1:9" ht="14.25" customHeight="1">
      <c r="A35" s="157" t="s">
        <v>477</v>
      </c>
      <c r="B35" s="186">
        <v>41</v>
      </c>
      <c r="C35" s="188">
        <v>54</v>
      </c>
      <c r="D35" s="188">
        <v>3694</v>
      </c>
      <c r="E35" s="188">
        <v>3813</v>
      </c>
      <c r="F35" s="188">
        <v>1606</v>
      </c>
      <c r="G35" s="188">
        <v>2761</v>
      </c>
      <c r="H35" s="188">
        <v>1313</v>
      </c>
      <c r="I35" s="143"/>
    </row>
    <row r="36" spans="1:9" ht="14.25" customHeight="1">
      <c r="A36" s="157" t="s">
        <v>478</v>
      </c>
      <c r="B36" s="186">
        <v>415</v>
      </c>
      <c r="C36" s="188">
        <v>513</v>
      </c>
      <c r="D36" s="188">
        <v>29396</v>
      </c>
      <c r="E36" s="188">
        <v>30520</v>
      </c>
      <c r="F36" s="188">
        <v>7252</v>
      </c>
      <c r="G36" s="188">
        <v>21352</v>
      </c>
      <c r="H36" s="188">
        <v>5666</v>
      </c>
      <c r="I36" s="143"/>
    </row>
    <row r="37" spans="1:9" ht="14.25" customHeight="1">
      <c r="A37" s="157" t="s">
        <v>479</v>
      </c>
      <c r="B37" s="186">
        <v>23</v>
      </c>
      <c r="C37" s="188">
        <v>24</v>
      </c>
      <c r="D37" s="188">
        <v>1598</v>
      </c>
      <c r="E37" s="188">
        <v>1533</v>
      </c>
      <c r="F37" s="188">
        <v>281</v>
      </c>
      <c r="G37" s="188">
        <v>1025</v>
      </c>
      <c r="H37" s="188">
        <v>240</v>
      </c>
      <c r="I37" s="143"/>
    </row>
    <row r="38" spans="1:9" ht="14.25" customHeight="1">
      <c r="A38" s="157" t="s">
        <v>480</v>
      </c>
      <c r="B38" s="186">
        <v>55</v>
      </c>
      <c r="C38" s="188">
        <v>72</v>
      </c>
      <c r="D38" s="188">
        <v>3130</v>
      </c>
      <c r="E38" s="188">
        <v>3733</v>
      </c>
      <c r="F38" s="188">
        <v>975</v>
      </c>
      <c r="G38" s="188">
        <v>2835</v>
      </c>
      <c r="H38" s="188">
        <v>904</v>
      </c>
      <c r="I38" s="143"/>
    </row>
    <row r="39" spans="1:9" ht="14.25" customHeight="1">
      <c r="A39" s="157" t="s">
        <v>481</v>
      </c>
      <c r="B39" s="186">
        <v>56</v>
      </c>
      <c r="C39" s="188">
        <v>71</v>
      </c>
      <c r="D39" s="188">
        <v>3714</v>
      </c>
      <c r="E39" s="188">
        <v>3544</v>
      </c>
      <c r="F39" s="188">
        <v>778</v>
      </c>
      <c r="G39" s="188">
        <v>2244</v>
      </c>
      <c r="H39" s="188">
        <v>579</v>
      </c>
      <c r="I39" s="143"/>
    </row>
    <row r="40" spans="1:9" ht="14.25" customHeight="1">
      <c r="A40" s="157" t="s">
        <v>482</v>
      </c>
      <c r="B40" s="186">
        <v>27</v>
      </c>
      <c r="C40" s="188">
        <v>28</v>
      </c>
      <c r="D40" s="188">
        <v>1322</v>
      </c>
      <c r="E40" s="188">
        <v>1234</v>
      </c>
      <c r="F40" s="188">
        <v>98</v>
      </c>
      <c r="G40" s="188">
        <v>708</v>
      </c>
      <c r="H40" s="188">
        <v>84</v>
      </c>
      <c r="I40" s="143"/>
    </row>
    <row r="41" spans="1:9" ht="14.25" customHeight="1">
      <c r="A41" s="157" t="s">
        <v>483</v>
      </c>
      <c r="B41" s="186">
        <v>39</v>
      </c>
      <c r="C41" s="188">
        <v>51</v>
      </c>
      <c r="D41" s="188">
        <v>2796</v>
      </c>
      <c r="E41" s="188">
        <v>2854</v>
      </c>
      <c r="F41" s="188">
        <v>627</v>
      </c>
      <c r="G41" s="188">
        <v>2045</v>
      </c>
      <c r="H41" s="188">
        <v>451</v>
      </c>
      <c r="I41" s="143"/>
    </row>
    <row r="42" spans="1:9" ht="14.25" customHeight="1">
      <c r="A42" s="157" t="s">
        <v>484</v>
      </c>
      <c r="B42" s="186">
        <v>65</v>
      </c>
      <c r="C42" s="188">
        <v>83</v>
      </c>
      <c r="D42" s="188">
        <v>5040</v>
      </c>
      <c r="E42" s="188">
        <v>5137</v>
      </c>
      <c r="F42" s="188">
        <v>1253</v>
      </c>
      <c r="G42" s="188">
        <v>2942</v>
      </c>
      <c r="H42" s="188">
        <v>902</v>
      </c>
      <c r="I42" s="143"/>
    </row>
    <row r="43" spans="1:9" ht="14.25" customHeight="1">
      <c r="A43" s="157" t="s">
        <v>485</v>
      </c>
      <c r="B43" s="186">
        <v>29</v>
      </c>
      <c r="C43" s="188">
        <v>38</v>
      </c>
      <c r="D43" s="188">
        <v>1843</v>
      </c>
      <c r="E43" s="188">
        <v>2046</v>
      </c>
      <c r="F43" s="188">
        <v>527</v>
      </c>
      <c r="G43" s="188">
        <v>1612</v>
      </c>
      <c r="H43" s="188">
        <v>460</v>
      </c>
      <c r="I43" s="143"/>
    </row>
    <row r="44" spans="1:9" ht="14.25" customHeight="1">
      <c r="A44" s="157" t="s">
        <v>486</v>
      </c>
      <c r="B44" s="186">
        <v>121</v>
      </c>
      <c r="C44" s="188">
        <v>146</v>
      </c>
      <c r="D44" s="188">
        <v>9953</v>
      </c>
      <c r="E44" s="188">
        <v>10439</v>
      </c>
      <c r="F44" s="188">
        <v>2713</v>
      </c>
      <c r="G44" s="188">
        <v>7941</v>
      </c>
      <c r="H44" s="188">
        <v>2046</v>
      </c>
      <c r="I44" s="143"/>
    </row>
    <row r="45" spans="1:9" ht="14.25" customHeight="1">
      <c r="A45" s="157" t="s">
        <v>487</v>
      </c>
      <c r="B45" s="186">
        <v>206</v>
      </c>
      <c r="C45" s="188">
        <v>337</v>
      </c>
      <c r="D45" s="188">
        <v>27302</v>
      </c>
      <c r="E45" s="188">
        <v>27256</v>
      </c>
      <c r="F45" s="188">
        <v>7153</v>
      </c>
      <c r="G45" s="188">
        <v>19535</v>
      </c>
      <c r="H45" s="188">
        <v>5381</v>
      </c>
      <c r="I45" s="143"/>
    </row>
    <row r="46" spans="1:9" ht="14.25" customHeight="1">
      <c r="A46" s="157" t="s">
        <v>488</v>
      </c>
      <c r="B46" s="186">
        <v>206</v>
      </c>
      <c r="C46" s="188">
        <v>337</v>
      </c>
      <c r="D46" s="188">
        <v>27302</v>
      </c>
      <c r="E46" s="188">
        <v>27256</v>
      </c>
      <c r="F46" s="188">
        <v>7153</v>
      </c>
      <c r="G46" s="188">
        <v>19535</v>
      </c>
      <c r="H46" s="188">
        <v>5381</v>
      </c>
      <c r="I46" s="143"/>
    </row>
    <row r="47" spans="1:9" ht="14.25" customHeight="1">
      <c r="A47" s="255" t="s">
        <v>489</v>
      </c>
      <c r="B47" s="174">
        <v>854</v>
      </c>
      <c r="C47" s="175">
        <v>1314</v>
      </c>
      <c r="D47" s="175">
        <v>58680</v>
      </c>
      <c r="E47" s="175">
        <v>65290</v>
      </c>
      <c r="F47" s="175">
        <v>17666</v>
      </c>
      <c r="G47" s="175">
        <v>47157</v>
      </c>
      <c r="H47" s="175">
        <v>13899</v>
      </c>
      <c r="I47" s="143"/>
    </row>
    <row r="48" spans="1:9" ht="14.25" customHeight="1">
      <c r="A48" s="157" t="s">
        <v>490</v>
      </c>
      <c r="B48" s="186">
        <v>854</v>
      </c>
      <c r="C48" s="186">
        <v>1314</v>
      </c>
      <c r="D48" s="186">
        <v>58680</v>
      </c>
      <c r="E48" s="186">
        <v>65290</v>
      </c>
      <c r="F48" s="186">
        <v>17666</v>
      </c>
      <c r="G48" s="186">
        <v>47157</v>
      </c>
      <c r="H48" s="188">
        <v>13899</v>
      </c>
      <c r="I48" s="143"/>
    </row>
    <row r="49" spans="1:9" ht="14.25" customHeight="1">
      <c r="A49" s="157" t="s">
        <v>491</v>
      </c>
      <c r="B49" s="186">
        <v>341</v>
      </c>
      <c r="C49" s="188">
        <v>506</v>
      </c>
      <c r="D49" s="188">
        <v>26235</v>
      </c>
      <c r="E49" s="188">
        <v>29817</v>
      </c>
      <c r="F49" s="188">
        <v>8639</v>
      </c>
      <c r="G49" s="188">
        <v>21040</v>
      </c>
      <c r="H49" s="188">
        <v>6276</v>
      </c>
      <c r="I49" s="143"/>
    </row>
    <row r="50" spans="1:9" ht="14.25" customHeight="1">
      <c r="A50" s="157" t="s">
        <v>492</v>
      </c>
      <c r="B50" s="186">
        <v>61</v>
      </c>
      <c r="C50" s="188">
        <v>87</v>
      </c>
      <c r="D50" s="188">
        <v>4018</v>
      </c>
      <c r="E50" s="188">
        <v>4406</v>
      </c>
      <c r="F50" s="188">
        <v>1040</v>
      </c>
      <c r="G50" s="188">
        <v>3235</v>
      </c>
      <c r="H50" s="188">
        <v>751</v>
      </c>
      <c r="I50" s="143"/>
    </row>
    <row r="51" spans="1:9" ht="14.25" customHeight="1">
      <c r="A51" s="157" t="s">
        <v>493</v>
      </c>
      <c r="B51" s="186">
        <v>52</v>
      </c>
      <c r="C51" s="188">
        <v>75</v>
      </c>
      <c r="D51" s="188">
        <v>3012</v>
      </c>
      <c r="E51" s="188">
        <v>3559</v>
      </c>
      <c r="F51" s="188">
        <v>819</v>
      </c>
      <c r="G51" s="188">
        <v>2788</v>
      </c>
      <c r="H51" s="188">
        <v>700</v>
      </c>
      <c r="I51" s="143"/>
    </row>
    <row r="52" spans="1:9" ht="14.25" customHeight="1">
      <c r="A52" s="157" t="s">
        <v>494</v>
      </c>
      <c r="B52" s="186">
        <v>115</v>
      </c>
      <c r="C52" s="188">
        <v>177</v>
      </c>
      <c r="D52" s="188">
        <v>10680</v>
      </c>
      <c r="E52" s="188">
        <v>12021</v>
      </c>
      <c r="F52" s="188">
        <v>3402</v>
      </c>
      <c r="G52" s="188">
        <v>8381</v>
      </c>
      <c r="H52" s="188">
        <v>2504</v>
      </c>
      <c r="I52" s="143"/>
    </row>
    <row r="53" spans="1:9" ht="14.25" customHeight="1">
      <c r="A53" s="157" t="s">
        <v>495</v>
      </c>
      <c r="B53" s="186">
        <v>113</v>
      </c>
      <c r="C53" s="188">
        <v>167</v>
      </c>
      <c r="D53" s="188">
        <v>8525</v>
      </c>
      <c r="E53" s="188">
        <v>9831</v>
      </c>
      <c r="F53" s="188">
        <v>3378</v>
      </c>
      <c r="G53" s="188">
        <v>6636</v>
      </c>
      <c r="H53" s="188">
        <v>2321</v>
      </c>
      <c r="I53" s="143"/>
    </row>
    <row r="54" spans="1:9" ht="14.25" customHeight="1">
      <c r="A54" s="157" t="s">
        <v>496</v>
      </c>
      <c r="B54" s="186">
        <v>133</v>
      </c>
      <c r="C54" s="188">
        <v>189</v>
      </c>
      <c r="D54" s="188">
        <v>8705</v>
      </c>
      <c r="E54" s="188">
        <v>9466</v>
      </c>
      <c r="F54" s="188">
        <v>2703</v>
      </c>
      <c r="G54" s="188">
        <v>7318</v>
      </c>
      <c r="H54" s="188">
        <v>2347</v>
      </c>
      <c r="I54" s="143"/>
    </row>
    <row r="55" spans="1:9" ht="14.25" customHeight="1">
      <c r="A55" s="157" t="s">
        <v>497</v>
      </c>
      <c r="B55" s="186">
        <v>22</v>
      </c>
      <c r="C55" s="188">
        <v>33</v>
      </c>
      <c r="D55" s="188">
        <v>1774</v>
      </c>
      <c r="E55" s="188">
        <v>1940</v>
      </c>
      <c r="F55" s="188">
        <v>533</v>
      </c>
      <c r="G55" s="188">
        <v>1645</v>
      </c>
      <c r="H55" s="188">
        <v>493</v>
      </c>
      <c r="I55" s="143"/>
    </row>
    <row r="56" spans="1:9" ht="14.25" customHeight="1">
      <c r="A56" s="157" t="s">
        <v>498</v>
      </c>
      <c r="B56" s="186">
        <v>26</v>
      </c>
      <c r="C56" s="188">
        <v>30</v>
      </c>
      <c r="D56" s="188">
        <v>1356</v>
      </c>
      <c r="E56" s="188">
        <v>1420</v>
      </c>
      <c r="F56" s="188">
        <v>301</v>
      </c>
      <c r="G56" s="188">
        <v>1087</v>
      </c>
      <c r="H56" s="188">
        <v>275</v>
      </c>
      <c r="I56" s="143"/>
    </row>
    <row r="57" spans="1:9" ht="14.25" customHeight="1">
      <c r="A57" s="157" t="s">
        <v>499</v>
      </c>
      <c r="B57" s="186">
        <v>22</v>
      </c>
      <c r="C57" s="188">
        <v>29</v>
      </c>
      <c r="D57" s="188">
        <v>1041</v>
      </c>
      <c r="E57" s="188">
        <v>1161</v>
      </c>
      <c r="F57" s="188">
        <v>353</v>
      </c>
      <c r="G57" s="188">
        <v>967</v>
      </c>
      <c r="H57" s="188">
        <v>321</v>
      </c>
      <c r="I57" s="143"/>
    </row>
    <row r="58" spans="1:9" ht="14.25" customHeight="1">
      <c r="A58" s="157" t="s">
        <v>500</v>
      </c>
      <c r="B58" s="186">
        <v>9</v>
      </c>
      <c r="C58" s="188">
        <v>14</v>
      </c>
      <c r="D58" s="188">
        <v>438</v>
      </c>
      <c r="E58" s="188">
        <v>670</v>
      </c>
      <c r="F58" s="188">
        <v>61</v>
      </c>
      <c r="G58" s="188">
        <v>293</v>
      </c>
      <c r="H58" s="188">
        <v>44</v>
      </c>
      <c r="I58" s="143"/>
    </row>
    <row r="59" spans="1:9" ht="14.25" customHeight="1">
      <c r="A59" s="157" t="s">
        <v>501</v>
      </c>
      <c r="B59" s="186">
        <v>12</v>
      </c>
      <c r="C59" s="188">
        <v>27</v>
      </c>
      <c r="D59" s="188">
        <v>911</v>
      </c>
      <c r="E59" s="188">
        <v>1040</v>
      </c>
      <c r="F59" s="188">
        <v>257</v>
      </c>
      <c r="G59" s="188">
        <v>748</v>
      </c>
      <c r="H59" s="188">
        <v>193</v>
      </c>
      <c r="I59" s="143"/>
    </row>
    <row r="60" spans="1:9" ht="14.25" customHeight="1">
      <c r="A60" s="157" t="s">
        <v>502</v>
      </c>
      <c r="B60" s="186">
        <v>7</v>
      </c>
      <c r="C60" s="188">
        <v>11</v>
      </c>
      <c r="D60" s="188">
        <v>468</v>
      </c>
      <c r="E60" s="188">
        <v>634</v>
      </c>
      <c r="F60" s="188">
        <v>198</v>
      </c>
      <c r="G60" s="188">
        <v>552</v>
      </c>
      <c r="H60" s="188">
        <v>185</v>
      </c>
      <c r="I60" s="143"/>
    </row>
    <row r="61" spans="1:9" ht="14.25" customHeight="1">
      <c r="A61" s="157" t="s">
        <v>503</v>
      </c>
      <c r="B61" s="186">
        <v>35</v>
      </c>
      <c r="C61" s="188">
        <v>45</v>
      </c>
      <c r="D61" s="188">
        <v>2717</v>
      </c>
      <c r="E61" s="188">
        <v>2601</v>
      </c>
      <c r="F61" s="188">
        <v>1000</v>
      </c>
      <c r="G61" s="188">
        <v>2026</v>
      </c>
      <c r="H61" s="188">
        <v>836</v>
      </c>
      <c r="I61" s="143"/>
    </row>
    <row r="62" spans="1:9" ht="14.25" customHeight="1">
      <c r="A62" s="157" t="s">
        <v>504</v>
      </c>
      <c r="B62" s="186">
        <v>148</v>
      </c>
      <c r="C62" s="188">
        <v>245</v>
      </c>
      <c r="D62" s="188">
        <v>9265</v>
      </c>
      <c r="E62" s="188">
        <v>10681</v>
      </c>
      <c r="F62" s="188">
        <v>2729</v>
      </c>
      <c r="G62" s="188">
        <v>7885</v>
      </c>
      <c r="H62" s="188">
        <v>2261</v>
      </c>
      <c r="I62" s="143"/>
    </row>
    <row r="63" spans="1:9" ht="14.25" customHeight="1">
      <c r="A63" s="157" t="s">
        <v>505</v>
      </c>
      <c r="B63" s="186">
        <v>20</v>
      </c>
      <c r="C63" s="188">
        <v>31</v>
      </c>
      <c r="D63" s="188">
        <v>961</v>
      </c>
      <c r="E63" s="188">
        <v>1248</v>
      </c>
      <c r="F63" s="188">
        <v>266</v>
      </c>
      <c r="G63" s="188">
        <v>1060</v>
      </c>
      <c r="H63" s="188">
        <v>263</v>
      </c>
      <c r="I63" s="143"/>
    </row>
    <row r="64" spans="1:9" ht="14.25" customHeight="1">
      <c r="A64" s="157" t="s">
        <v>506</v>
      </c>
      <c r="B64" s="186">
        <v>20</v>
      </c>
      <c r="C64" s="188">
        <v>36</v>
      </c>
      <c r="D64" s="188">
        <v>1611</v>
      </c>
      <c r="E64" s="188">
        <v>1833</v>
      </c>
      <c r="F64" s="188">
        <v>363</v>
      </c>
      <c r="G64" s="188">
        <v>1003</v>
      </c>
      <c r="H64" s="188">
        <v>263</v>
      </c>
      <c r="I64" s="143"/>
    </row>
    <row r="65" spans="1:9" ht="14.25" customHeight="1">
      <c r="A65" s="157" t="s">
        <v>507</v>
      </c>
      <c r="B65" s="186">
        <v>16</v>
      </c>
      <c r="C65" s="188">
        <v>27</v>
      </c>
      <c r="D65" s="188">
        <v>736</v>
      </c>
      <c r="E65" s="188">
        <v>751</v>
      </c>
      <c r="F65" s="188">
        <v>137</v>
      </c>
      <c r="G65" s="188">
        <v>500</v>
      </c>
      <c r="H65" s="188">
        <v>105</v>
      </c>
      <c r="I65" s="143"/>
    </row>
    <row r="66" spans="1:9" ht="14.25" customHeight="1">
      <c r="A66" s="157" t="s">
        <v>508</v>
      </c>
      <c r="B66" s="186">
        <v>40</v>
      </c>
      <c r="C66" s="188">
        <v>68</v>
      </c>
      <c r="D66" s="188">
        <v>2372</v>
      </c>
      <c r="E66" s="188">
        <v>2568</v>
      </c>
      <c r="F66" s="188">
        <v>553</v>
      </c>
      <c r="G66" s="188">
        <v>1867</v>
      </c>
      <c r="H66" s="188">
        <v>459</v>
      </c>
      <c r="I66" s="143"/>
    </row>
    <row r="67" spans="1:9" ht="14.25" customHeight="1">
      <c r="A67" s="157" t="s">
        <v>509</v>
      </c>
      <c r="B67" s="186">
        <v>52</v>
      </c>
      <c r="C67" s="188">
        <v>83</v>
      </c>
      <c r="D67" s="188">
        <v>3585</v>
      </c>
      <c r="E67" s="188">
        <v>4281</v>
      </c>
      <c r="F67" s="188">
        <v>1410</v>
      </c>
      <c r="G67" s="188">
        <v>3455</v>
      </c>
      <c r="H67" s="188">
        <v>1171</v>
      </c>
      <c r="I67" s="143"/>
    </row>
    <row r="68" spans="1:9" ht="14.25" customHeight="1">
      <c r="A68" s="157" t="s">
        <v>510</v>
      </c>
      <c r="B68" s="186">
        <v>158</v>
      </c>
      <c r="C68" s="188">
        <v>230</v>
      </c>
      <c r="D68" s="188">
        <v>9123</v>
      </c>
      <c r="E68" s="188">
        <v>9927</v>
      </c>
      <c r="F68" s="188">
        <v>2481</v>
      </c>
      <c r="G68" s="188">
        <v>7165</v>
      </c>
      <c r="H68" s="188">
        <v>2112</v>
      </c>
      <c r="I68" s="143"/>
    </row>
    <row r="69" spans="1:9" ht="14.25" customHeight="1">
      <c r="A69" s="157" t="s">
        <v>511</v>
      </c>
      <c r="B69" s="186">
        <v>69</v>
      </c>
      <c r="C69" s="188">
        <v>100</v>
      </c>
      <c r="D69" s="188">
        <v>4251</v>
      </c>
      <c r="E69" s="188">
        <v>4300</v>
      </c>
      <c r="F69" s="188">
        <v>989</v>
      </c>
      <c r="G69" s="188">
        <v>3223</v>
      </c>
      <c r="H69" s="188">
        <v>905</v>
      </c>
      <c r="I69" s="143"/>
    </row>
    <row r="70" spans="1:9" ht="14.25" customHeight="1">
      <c r="A70" s="157" t="s">
        <v>512</v>
      </c>
      <c r="B70" s="186">
        <v>24</v>
      </c>
      <c r="C70" s="188">
        <v>32</v>
      </c>
      <c r="D70" s="188">
        <v>895</v>
      </c>
      <c r="E70" s="188">
        <v>1379</v>
      </c>
      <c r="F70" s="188">
        <v>467</v>
      </c>
      <c r="G70" s="188">
        <v>910</v>
      </c>
      <c r="H70" s="188">
        <v>387</v>
      </c>
      <c r="I70" s="143"/>
    </row>
    <row r="71" spans="1:9" ht="14.25" customHeight="1">
      <c r="A71" s="157" t="s">
        <v>513</v>
      </c>
      <c r="B71" s="186">
        <v>34</v>
      </c>
      <c r="C71" s="188">
        <v>49</v>
      </c>
      <c r="D71" s="188">
        <v>2363</v>
      </c>
      <c r="E71" s="188">
        <v>2316</v>
      </c>
      <c r="F71" s="188">
        <v>620</v>
      </c>
      <c r="G71" s="188">
        <v>1661</v>
      </c>
      <c r="H71" s="188">
        <v>514</v>
      </c>
      <c r="I71" s="143"/>
    </row>
    <row r="72" spans="1:9" ht="14.25" customHeight="1">
      <c r="A72" s="157" t="s">
        <v>514</v>
      </c>
      <c r="B72" s="186">
        <v>31</v>
      </c>
      <c r="C72" s="188">
        <v>49</v>
      </c>
      <c r="D72" s="188">
        <v>1614</v>
      </c>
      <c r="E72" s="188">
        <v>1932</v>
      </c>
      <c r="F72" s="188">
        <v>405</v>
      </c>
      <c r="G72" s="188">
        <v>1371</v>
      </c>
      <c r="H72" s="188">
        <v>306</v>
      </c>
      <c r="I72" s="143"/>
    </row>
    <row r="73" spans="1:9" ht="14.25" customHeight="1">
      <c r="A73" s="157" t="s">
        <v>515</v>
      </c>
      <c r="B73" s="186">
        <v>74</v>
      </c>
      <c r="C73" s="188">
        <v>144</v>
      </c>
      <c r="D73" s="188">
        <v>5352</v>
      </c>
      <c r="E73" s="188">
        <v>5399</v>
      </c>
      <c r="F73" s="188">
        <v>1114</v>
      </c>
      <c r="G73" s="188">
        <v>3749</v>
      </c>
      <c r="H73" s="188">
        <v>903</v>
      </c>
      <c r="I73" s="143"/>
    </row>
    <row r="74" spans="1:9" ht="14.25" customHeight="1">
      <c r="A74" s="157" t="s">
        <v>516</v>
      </c>
      <c r="B74" s="186">
        <v>19</v>
      </c>
      <c r="C74" s="188">
        <v>36</v>
      </c>
      <c r="D74" s="188">
        <v>1475</v>
      </c>
      <c r="E74" s="188">
        <v>1420</v>
      </c>
      <c r="F74" s="188">
        <v>208</v>
      </c>
      <c r="G74" s="188">
        <v>977</v>
      </c>
      <c r="H74" s="188">
        <v>166</v>
      </c>
      <c r="I74" s="143"/>
    </row>
    <row r="75" spans="1:9" ht="14.25" customHeight="1">
      <c r="A75" s="157" t="s">
        <v>517</v>
      </c>
      <c r="B75" s="186">
        <v>37</v>
      </c>
      <c r="C75" s="188">
        <v>63</v>
      </c>
      <c r="D75" s="188">
        <v>2656</v>
      </c>
      <c r="E75" s="188">
        <v>2647</v>
      </c>
      <c r="F75" s="188">
        <v>568</v>
      </c>
      <c r="G75" s="188">
        <v>1831</v>
      </c>
      <c r="H75" s="188">
        <v>449</v>
      </c>
      <c r="I75" s="143"/>
    </row>
    <row r="76" spans="1:9" ht="14.25" customHeight="1">
      <c r="A76" s="157" t="s">
        <v>518</v>
      </c>
      <c r="B76" s="186">
        <v>18</v>
      </c>
      <c r="C76" s="188">
        <v>45</v>
      </c>
      <c r="D76" s="188">
        <v>1221</v>
      </c>
      <c r="E76" s="188">
        <v>1332</v>
      </c>
      <c r="F76" s="188">
        <v>338</v>
      </c>
      <c r="G76" s="188">
        <v>941</v>
      </c>
      <c r="H76" s="188">
        <v>288</v>
      </c>
      <c r="I76" s="143"/>
    </row>
    <row r="77" spans="1:9" ht="14.25" customHeight="1">
      <c r="A77" s="255" t="s">
        <v>519</v>
      </c>
      <c r="B77" s="186">
        <v>797</v>
      </c>
      <c r="C77" s="188">
        <v>1341</v>
      </c>
      <c r="D77" s="188">
        <v>69578</v>
      </c>
      <c r="E77" s="188">
        <v>68959</v>
      </c>
      <c r="F77" s="188">
        <v>17960</v>
      </c>
      <c r="G77" s="188">
        <v>52361</v>
      </c>
      <c r="H77" s="188">
        <v>15049</v>
      </c>
      <c r="I77" s="143"/>
    </row>
    <row r="78" spans="1:9" ht="14.25" customHeight="1">
      <c r="A78" s="157" t="s">
        <v>520</v>
      </c>
      <c r="B78" s="186">
        <v>797</v>
      </c>
      <c r="C78" s="188">
        <v>1341</v>
      </c>
      <c r="D78" s="188">
        <v>69578</v>
      </c>
      <c r="E78" s="188">
        <v>68959</v>
      </c>
      <c r="F78" s="188">
        <v>17960</v>
      </c>
      <c r="G78" s="188">
        <v>52361</v>
      </c>
      <c r="H78" s="188">
        <v>15049</v>
      </c>
      <c r="I78" s="143"/>
    </row>
    <row r="79" spans="1:9" ht="14.25" customHeight="1">
      <c r="A79" s="157" t="s">
        <v>521</v>
      </c>
      <c r="B79" s="186">
        <v>113</v>
      </c>
      <c r="C79" s="188">
        <v>206</v>
      </c>
      <c r="D79" s="188">
        <v>7816</v>
      </c>
      <c r="E79" s="188">
        <v>8606</v>
      </c>
      <c r="F79" s="188">
        <v>2060</v>
      </c>
      <c r="G79" s="188">
        <v>6330</v>
      </c>
      <c r="H79" s="188">
        <v>1692</v>
      </c>
      <c r="I79" s="143"/>
    </row>
    <row r="80" spans="1:9" ht="14.25" customHeight="1">
      <c r="A80" s="157" t="s">
        <v>522</v>
      </c>
      <c r="B80" s="186">
        <v>38</v>
      </c>
      <c r="C80" s="188">
        <v>67</v>
      </c>
      <c r="D80" s="188">
        <v>2189</v>
      </c>
      <c r="E80" s="188">
        <v>2063</v>
      </c>
      <c r="F80" s="188">
        <v>422</v>
      </c>
      <c r="G80" s="188">
        <v>1357</v>
      </c>
      <c r="H80" s="188">
        <v>377</v>
      </c>
      <c r="I80" s="143"/>
    </row>
    <row r="81" spans="1:9" ht="14.25" customHeight="1">
      <c r="A81" s="157" t="s">
        <v>523</v>
      </c>
      <c r="B81" s="186">
        <v>9</v>
      </c>
      <c r="C81" s="188">
        <v>19</v>
      </c>
      <c r="D81" s="188">
        <v>661</v>
      </c>
      <c r="E81" s="188">
        <v>637</v>
      </c>
      <c r="F81" s="188">
        <v>181</v>
      </c>
      <c r="G81" s="188">
        <v>533</v>
      </c>
      <c r="H81" s="188">
        <v>166</v>
      </c>
      <c r="I81" s="143"/>
    </row>
    <row r="82" spans="1:9" ht="14.25" customHeight="1">
      <c r="A82" s="157" t="s">
        <v>524</v>
      </c>
      <c r="B82" s="186">
        <v>21</v>
      </c>
      <c r="C82" s="188">
        <v>30</v>
      </c>
      <c r="D82" s="188">
        <v>1351</v>
      </c>
      <c r="E82" s="188">
        <v>1683</v>
      </c>
      <c r="F82" s="188">
        <v>295</v>
      </c>
      <c r="G82" s="188">
        <v>1096</v>
      </c>
      <c r="H82" s="188">
        <v>255</v>
      </c>
      <c r="I82" s="143"/>
    </row>
    <row r="83" spans="1:9" ht="14.25" customHeight="1">
      <c r="A83" s="157" t="s">
        <v>525</v>
      </c>
      <c r="B83" s="186">
        <v>11</v>
      </c>
      <c r="C83" s="188">
        <v>22</v>
      </c>
      <c r="D83" s="188">
        <v>951</v>
      </c>
      <c r="E83" s="188">
        <v>1020</v>
      </c>
      <c r="F83" s="188">
        <v>212</v>
      </c>
      <c r="G83" s="188">
        <v>877</v>
      </c>
      <c r="H83" s="188">
        <v>204</v>
      </c>
      <c r="I83" s="143"/>
    </row>
    <row r="84" spans="1:9" ht="14.25" customHeight="1">
      <c r="A84" s="157" t="s">
        <v>526</v>
      </c>
      <c r="B84" s="186">
        <v>34</v>
      </c>
      <c r="C84" s="188">
        <v>68</v>
      </c>
      <c r="D84" s="188">
        <v>2664</v>
      </c>
      <c r="E84" s="188">
        <v>3203</v>
      </c>
      <c r="F84" s="188">
        <v>950</v>
      </c>
      <c r="G84" s="188">
        <v>2467</v>
      </c>
      <c r="H84" s="188">
        <v>690</v>
      </c>
      <c r="I84" s="143"/>
    </row>
    <row r="85" spans="1:9" ht="14.25" customHeight="1">
      <c r="A85" s="157" t="s">
        <v>527</v>
      </c>
      <c r="B85" s="186">
        <v>241</v>
      </c>
      <c r="C85" s="188">
        <v>377</v>
      </c>
      <c r="D85" s="188">
        <v>19977</v>
      </c>
      <c r="E85" s="188">
        <v>18772</v>
      </c>
      <c r="F85" s="188">
        <v>4764</v>
      </c>
      <c r="G85" s="188">
        <v>14064</v>
      </c>
      <c r="H85" s="188">
        <v>4161</v>
      </c>
      <c r="I85" s="143"/>
    </row>
    <row r="86" spans="1:9" ht="14.25" customHeight="1">
      <c r="A86" s="157" t="s">
        <v>528</v>
      </c>
      <c r="B86" s="186">
        <v>48</v>
      </c>
      <c r="C86" s="188">
        <v>60</v>
      </c>
      <c r="D86" s="188">
        <v>2823</v>
      </c>
      <c r="E86" s="188">
        <v>2917</v>
      </c>
      <c r="F86" s="188">
        <v>523</v>
      </c>
      <c r="G86" s="188">
        <v>2201</v>
      </c>
      <c r="H86" s="188">
        <v>478</v>
      </c>
      <c r="I86" s="143"/>
    </row>
    <row r="87" spans="1:9" ht="14.25" customHeight="1">
      <c r="A87" s="157" t="s">
        <v>529</v>
      </c>
      <c r="B87" s="186">
        <v>25</v>
      </c>
      <c r="C87" s="188">
        <v>36</v>
      </c>
      <c r="D87" s="188">
        <v>1795</v>
      </c>
      <c r="E87" s="188">
        <v>1731</v>
      </c>
      <c r="F87" s="188">
        <v>315</v>
      </c>
      <c r="G87" s="188">
        <v>1269</v>
      </c>
      <c r="H87" s="188">
        <v>278</v>
      </c>
      <c r="I87" s="143"/>
    </row>
    <row r="88" spans="1:9" ht="14.25" customHeight="1">
      <c r="A88" s="157" t="s">
        <v>530</v>
      </c>
      <c r="B88" s="186">
        <v>13</v>
      </c>
      <c r="C88" s="188">
        <v>18</v>
      </c>
      <c r="D88" s="188">
        <v>923</v>
      </c>
      <c r="E88" s="188">
        <v>878</v>
      </c>
      <c r="F88" s="188">
        <v>158</v>
      </c>
      <c r="G88" s="188">
        <v>718</v>
      </c>
      <c r="H88" s="188">
        <v>151</v>
      </c>
      <c r="I88" s="143"/>
    </row>
    <row r="89" spans="1:9" ht="14.25" customHeight="1">
      <c r="A89" s="157" t="s">
        <v>531</v>
      </c>
      <c r="B89" s="186">
        <v>29</v>
      </c>
      <c r="C89" s="188">
        <v>40</v>
      </c>
      <c r="D89" s="188">
        <v>1850</v>
      </c>
      <c r="E89" s="188">
        <v>1772</v>
      </c>
      <c r="F89" s="188">
        <v>530</v>
      </c>
      <c r="G89" s="188">
        <v>1451</v>
      </c>
      <c r="H89" s="188">
        <v>498</v>
      </c>
      <c r="I89" s="143"/>
    </row>
    <row r="90" spans="1:9" ht="14.25" customHeight="1">
      <c r="A90" s="157" t="s">
        <v>532</v>
      </c>
      <c r="B90" s="186">
        <v>40</v>
      </c>
      <c r="C90" s="188">
        <v>77</v>
      </c>
      <c r="D90" s="188">
        <v>3034</v>
      </c>
      <c r="E90" s="188">
        <v>2859</v>
      </c>
      <c r="F90" s="188">
        <v>902</v>
      </c>
      <c r="G90" s="188">
        <v>2390</v>
      </c>
      <c r="H90" s="188">
        <v>864</v>
      </c>
      <c r="I90" s="143"/>
    </row>
    <row r="91" spans="1:9" ht="14.25" customHeight="1">
      <c r="A91" s="157" t="s">
        <v>533</v>
      </c>
      <c r="B91" s="186">
        <v>27</v>
      </c>
      <c r="C91" s="188">
        <v>38</v>
      </c>
      <c r="D91" s="188">
        <v>2932</v>
      </c>
      <c r="E91" s="188">
        <v>2532</v>
      </c>
      <c r="F91" s="188">
        <v>603</v>
      </c>
      <c r="G91" s="188">
        <v>1856</v>
      </c>
      <c r="H91" s="188">
        <v>525</v>
      </c>
      <c r="I91" s="143"/>
    </row>
    <row r="92" spans="1:9" ht="14.25" customHeight="1">
      <c r="A92" s="157" t="s">
        <v>534</v>
      </c>
      <c r="B92" s="186">
        <v>23</v>
      </c>
      <c r="C92" s="188">
        <v>32</v>
      </c>
      <c r="D92" s="188">
        <v>1876</v>
      </c>
      <c r="E92" s="188">
        <v>1686</v>
      </c>
      <c r="F92" s="188">
        <v>459</v>
      </c>
      <c r="G92" s="188">
        <v>1391</v>
      </c>
      <c r="H92" s="188">
        <v>390</v>
      </c>
      <c r="I92" s="143"/>
    </row>
    <row r="93" spans="1:9" ht="14.25" customHeight="1">
      <c r="A93" s="157" t="s">
        <v>535</v>
      </c>
      <c r="B93" s="186">
        <v>36</v>
      </c>
      <c r="C93" s="188">
        <v>76</v>
      </c>
      <c r="D93" s="188">
        <v>4744</v>
      </c>
      <c r="E93" s="188">
        <v>4397</v>
      </c>
      <c r="F93" s="188">
        <v>1274</v>
      </c>
      <c r="G93" s="188">
        <v>2788</v>
      </c>
      <c r="H93" s="188">
        <v>977</v>
      </c>
      <c r="I93" s="143"/>
    </row>
    <row r="94" spans="1:9" ht="14.25" customHeight="1">
      <c r="A94" s="157" t="s">
        <v>536</v>
      </c>
      <c r="B94" s="186">
        <v>244</v>
      </c>
      <c r="C94" s="188">
        <v>431</v>
      </c>
      <c r="D94" s="188">
        <v>27412</v>
      </c>
      <c r="E94" s="188">
        <v>27045</v>
      </c>
      <c r="F94" s="188">
        <v>7021</v>
      </c>
      <c r="G94" s="188">
        <v>20281</v>
      </c>
      <c r="H94" s="188">
        <v>5532</v>
      </c>
      <c r="I94" s="143"/>
    </row>
    <row r="95" spans="1:9" ht="14.25" customHeight="1">
      <c r="A95" s="157" t="s">
        <v>537</v>
      </c>
      <c r="B95" s="186">
        <v>34</v>
      </c>
      <c r="C95" s="188">
        <v>57</v>
      </c>
      <c r="D95" s="188">
        <v>2341</v>
      </c>
      <c r="E95" s="188">
        <v>2352</v>
      </c>
      <c r="F95" s="188">
        <v>636</v>
      </c>
      <c r="G95" s="188">
        <v>1392</v>
      </c>
      <c r="H95" s="188">
        <v>449</v>
      </c>
      <c r="I95" s="143"/>
    </row>
    <row r="96" spans="1:9" ht="14.25" customHeight="1">
      <c r="A96" s="157" t="s">
        <v>538</v>
      </c>
      <c r="B96" s="186">
        <v>51</v>
      </c>
      <c r="C96" s="188">
        <v>75</v>
      </c>
      <c r="D96" s="188">
        <v>4077</v>
      </c>
      <c r="E96" s="188">
        <v>3993</v>
      </c>
      <c r="F96" s="188">
        <v>684</v>
      </c>
      <c r="G96" s="188">
        <v>3052</v>
      </c>
      <c r="H96" s="188">
        <v>579</v>
      </c>
      <c r="I96" s="143"/>
    </row>
    <row r="97" spans="1:9" ht="14.25" customHeight="1">
      <c r="A97" s="157" t="s">
        <v>539</v>
      </c>
      <c r="B97" s="186">
        <v>17</v>
      </c>
      <c r="C97" s="188">
        <v>31</v>
      </c>
      <c r="D97" s="188">
        <v>2335</v>
      </c>
      <c r="E97" s="188">
        <v>2227</v>
      </c>
      <c r="F97" s="188">
        <v>564</v>
      </c>
      <c r="G97" s="188">
        <v>1978</v>
      </c>
      <c r="H97" s="188">
        <v>508</v>
      </c>
      <c r="I97" s="143"/>
    </row>
    <row r="98" spans="1:9" ht="14.25" customHeight="1">
      <c r="A98" s="157" t="s">
        <v>474</v>
      </c>
      <c r="B98" s="186">
        <v>20</v>
      </c>
      <c r="C98" s="188">
        <v>34</v>
      </c>
      <c r="D98" s="188">
        <v>1841</v>
      </c>
      <c r="E98" s="188">
        <v>2155</v>
      </c>
      <c r="F98" s="188">
        <v>424</v>
      </c>
      <c r="G98" s="188">
        <v>1807</v>
      </c>
      <c r="H98" s="188">
        <v>401</v>
      </c>
      <c r="I98" s="143"/>
    </row>
    <row r="99" spans="1:9" ht="14.25" customHeight="1">
      <c r="A99" s="157" t="s">
        <v>540</v>
      </c>
      <c r="B99" s="186">
        <v>122</v>
      </c>
      <c r="C99" s="188">
        <v>234</v>
      </c>
      <c r="D99" s="188">
        <v>16818</v>
      </c>
      <c r="E99" s="188">
        <v>16318</v>
      </c>
      <c r="F99" s="188">
        <v>4713</v>
      </c>
      <c r="G99" s="188">
        <v>12052</v>
      </c>
      <c r="H99" s="188">
        <v>3595</v>
      </c>
      <c r="I99" s="143"/>
    </row>
    <row r="100" spans="1:9" ht="14.25" customHeight="1">
      <c r="A100" s="157" t="s">
        <v>541</v>
      </c>
      <c r="B100" s="186">
        <v>199</v>
      </c>
      <c r="C100" s="188">
        <v>327</v>
      </c>
      <c r="D100" s="188">
        <v>14373</v>
      </c>
      <c r="E100" s="188">
        <v>14536</v>
      </c>
      <c r="F100" s="188">
        <v>4115</v>
      </c>
      <c r="G100" s="188">
        <v>11686</v>
      </c>
      <c r="H100" s="188">
        <v>3664</v>
      </c>
      <c r="I100" s="143"/>
    </row>
    <row r="101" spans="1:9" ht="14.25" customHeight="1">
      <c r="A101" s="157" t="s">
        <v>542</v>
      </c>
      <c r="B101" s="186">
        <v>15</v>
      </c>
      <c r="C101" s="188">
        <v>18</v>
      </c>
      <c r="D101" s="188">
        <v>912</v>
      </c>
      <c r="E101" s="188">
        <v>979</v>
      </c>
      <c r="F101" s="188">
        <v>238</v>
      </c>
      <c r="G101" s="188">
        <v>806</v>
      </c>
      <c r="H101" s="188">
        <v>211</v>
      </c>
      <c r="I101" s="143"/>
    </row>
    <row r="102" spans="1:9" ht="14.25" customHeight="1">
      <c r="A102" s="157" t="s">
        <v>543</v>
      </c>
      <c r="B102" s="186">
        <v>44</v>
      </c>
      <c r="C102" s="188">
        <v>55</v>
      </c>
      <c r="D102" s="188">
        <v>2796</v>
      </c>
      <c r="E102" s="188">
        <v>2834</v>
      </c>
      <c r="F102" s="188">
        <v>697</v>
      </c>
      <c r="G102" s="188">
        <v>2204</v>
      </c>
      <c r="H102" s="188">
        <v>560</v>
      </c>
      <c r="I102" s="143"/>
    </row>
    <row r="103" spans="1:9" ht="14.25" customHeight="1">
      <c r="A103" s="157" t="s">
        <v>544</v>
      </c>
      <c r="B103" s="186">
        <v>61</v>
      </c>
      <c r="C103" s="188">
        <v>136</v>
      </c>
      <c r="D103" s="188">
        <v>3516</v>
      </c>
      <c r="E103" s="188">
        <v>3698</v>
      </c>
      <c r="F103" s="188">
        <v>1181</v>
      </c>
      <c r="G103" s="188">
        <v>3032</v>
      </c>
      <c r="H103" s="188">
        <v>1067</v>
      </c>
      <c r="I103" s="143"/>
    </row>
    <row r="104" spans="1:9" ht="14.25" customHeight="1">
      <c r="A104" s="157" t="s">
        <v>545</v>
      </c>
      <c r="B104" s="186">
        <v>17</v>
      </c>
      <c r="C104" s="188">
        <v>24</v>
      </c>
      <c r="D104" s="188">
        <v>1250</v>
      </c>
      <c r="E104" s="188">
        <v>1180</v>
      </c>
      <c r="F104" s="188">
        <v>229</v>
      </c>
      <c r="G104" s="188">
        <v>925</v>
      </c>
      <c r="H104" s="188">
        <v>190</v>
      </c>
      <c r="I104" s="143"/>
    </row>
    <row r="105" spans="1:9" ht="14.25" customHeight="1">
      <c r="A105" s="157" t="s">
        <v>546</v>
      </c>
      <c r="B105" s="186">
        <v>41</v>
      </c>
      <c r="C105" s="188">
        <v>64</v>
      </c>
      <c r="D105" s="188">
        <v>4882</v>
      </c>
      <c r="E105" s="188">
        <v>4771</v>
      </c>
      <c r="F105" s="188">
        <v>1628</v>
      </c>
      <c r="G105" s="188">
        <v>3967</v>
      </c>
      <c r="H105" s="188">
        <v>1515</v>
      </c>
      <c r="I105" s="143"/>
    </row>
    <row r="106" spans="1:9" ht="14.25" customHeight="1">
      <c r="A106" s="157" t="s">
        <v>547</v>
      </c>
      <c r="B106" s="186">
        <v>21</v>
      </c>
      <c r="C106" s="188">
        <v>30</v>
      </c>
      <c r="D106" s="188">
        <v>1017</v>
      </c>
      <c r="E106" s="188">
        <v>1074</v>
      </c>
      <c r="F106" s="188">
        <v>142</v>
      </c>
      <c r="G106" s="188">
        <v>752</v>
      </c>
      <c r="H106" s="188">
        <v>121</v>
      </c>
      <c r="I106" s="143"/>
    </row>
    <row r="107" spans="1:9" ht="14.25" customHeight="1">
      <c r="A107" s="255" t="s">
        <v>548</v>
      </c>
      <c r="B107" s="186">
        <v>491</v>
      </c>
      <c r="C107" s="188">
        <v>691</v>
      </c>
      <c r="D107" s="188">
        <v>37794</v>
      </c>
      <c r="E107" s="188">
        <v>36341</v>
      </c>
      <c r="F107" s="188">
        <v>10623</v>
      </c>
      <c r="G107" s="188">
        <v>24733</v>
      </c>
      <c r="H107" s="188">
        <v>8550</v>
      </c>
      <c r="I107" s="143"/>
    </row>
    <row r="108" spans="1:9" ht="14.25" customHeight="1">
      <c r="A108" s="157" t="s">
        <v>549</v>
      </c>
      <c r="B108" s="186">
        <v>491</v>
      </c>
      <c r="C108" s="188">
        <v>691</v>
      </c>
      <c r="D108" s="188">
        <v>37794</v>
      </c>
      <c r="E108" s="188">
        <v>36341</v>
      </c>
      <c r="F108" s="188">
        <v>10623</v>
      </c>
      <c r="G108" s="188">
        <v>24733</v>
      </c>
      <c r="H108" s="188">
        <v>8550</v>
      </c>
      <c r="I108" s="143"/>
    </row>
    <row r="109" spans="1:9" ht="14.25" customHeight="1">
      <c r="A109" s="157" t="s">
        <v>550</v>
      </c>
      <c r="B109" s="186">
        <v>192</v>
      </c>
      <c r="C109" s="188">
        <v>277</v>
      </c>
      <c r="D109" s="188">
        <v>15453</v>
      </c>
      <c r="E109" s="188">
        <v>14114</v>
      </c>
      <c r="F109" s="188">
        <v>3899</v>
      </c>
      <c r="G109" s="188">
        <v>10131</v>
      </c>
      <c r="H109" s="188">
        <v>3432</v>
      </c>
      <c r="I109" s="143"/>
    </row>
    <row r="110" spans="1:9" ht="14.25" customHeight="1">
      <c r="A110" s="157" t="s">
        <v>551</v>
      </c>
      <c r="B110" s="186">
        <v>48</v>
      </c>
      <c r="C110" s="188">
        <v>59</v>
      </c>
      <c r="D110" s="188">
        <v>3013</v>
      </c>
      <c r="E110" s="188">
        <v>2908</v>
      </c>
      <c r="F110" s="188">
        <v>438</v>
      </c>
      <c r="G110" s="188">
        <v>1663</v>
      </c>
      <c r="H110" s="188">
        <v>402</v>
      </c>
      <c r="I110" s="143"/>
    </row>
    <row r="111" spans="1:9" ht="14.25" customHeight="1">
      <c r="A111" s="157" t="s">
        <v>552</v>
      </c>
      <c r="B111" s="186">
        <v>23</v>
      </c>
      <c r="C111" s="188">
        <v>34</v>
      </c>
      <c r="D111" s="188">
        <v>1103</v>
      </c>
      <c r="E111" s="188">
        <v>1363</v>
      </c>
      <c r="F111" s="188">
        <v>335</v>
      </c>
      <c r="G111" s="188">
        <v>989</v>
      </c>
      <c r="H111" s="188">
        <v>274</v>
      </c>
      <c r="I111" s="143"/>
    </row>
    <row r="112" spans="1:9" ht="14.25" customHeight="1">
      <c r="A112" s="157" t="s">
        <v>553</v>
      </c>
      <c r="B112" s="186">
        <v>23</v>
      </c>
      <c r="C112" s="188">
        <v>30</v>
      </c>
      <c r="D112" s="188">
        <v>1847</v>
      </c>
      <c r="E112" s="188">
        <v>1640</v>
      </c>
      <c r="F112" s="188">
        <v>490</v>
      </c>
      <c r="G112" s="188">
        <v>1215</v>
      </c>
      <c r="H112" s="188">
        <v>437</v>
      </c>
      <c r="I112" s="143"/>
    </row>
    <row r="113" spans="1:9" ht="14.25" customHeight="1">
      <c r="A113" s="157" t="s">
        <v>554</v>
      </c>
      <c r="B113" s="186">
        <v>31</v>
      </c>
      <c r="C113" s="188">
        <v>49</v>
      </c>
      <c r="D113" s="188">
        <v>1517</v>
      </c>
      <c r="E113" s="188">
        <v>1479</v>
      </c>
      <c r="F113" s="188">
        <v>415</v>
      </c>
      <c r="G113" s="188">
        <v>964</v>
      </c>
      <c r="H113" s="188">
        <v>337</v>
      </c>
      <c r="I113" s="143"/>
    </row>
    <row r="114" spans="1:9" ht="14.25" customHeight="1">
      <c r="A114" s="157" t="s">
        <v>555</v>
      </c>
      <c r="B114" s="186">
        <v>15</v>
      </c>
      <c r="C114" s="188">
        <v>20</v>
      </c>
      <c r="D114" s="188">
        <v>963</v>
      </c>
      <c r="E114" s="188">
        <v>976</v>
      </c>
      <c r="F114" s="188">
        <v>323</v>
      </c>
      <c r="G114" s="188">
        <v>738</v>
      </c>
      <c r="H114" s="188">
        <v>296</v>
      </c>
      <c r="I114" s="143"/>
    </row>
    <row r="115" spans="1:9" ht="14.25" customHeight="1">
      <c r="A115" s="157" t="s">
        <v>556</v>
      </c>
      <c r="B115" s="186">
        <v>52</v>
      </c>
      <c r="C115" s="188">
        <v>85</v>
      </c>
      <c r="D115" s="188">
        <v>7010</v>
      </c>
      <c r="E115" s="188">
        <v>5748</v>
      </c>
      <c r="F115" s="188">
        <v>1898</v>
      </c>
      <c r="G115" s="188">
        <v>4562</v>
      </c>
      <c r="H115" s="188">
        <v>1686</v>
      </c>
      <c r="I115" s="143"/>
    </row>
    <row r="116" spans="1:9" ht="14.25" customHeight="1">
      <c r="A116" s="157" t="s">
        <v>557</v>
      </c>
      <c r="B116" s="186">
        <v>299</v>
      </c>
      <c r="C116" s="188">
        <v>414</v>
      </c>
      <c r="D116" s="188">
        <v>22341</v>
      </c>
      <c r="E116" s="188">
        <v>22227</v>
      </c>
      <c r="F116" s="188">
        <v>6724</v>
      </c>
      <c r="G116" s="188">
        <v>14602</v>
      </c>
      <c r="H116" s="188">
        <v>5118</v>
      </c>
      <c r="I116" s="143"/>
    </row>
    <row r="117" spans="1:9" ht="14.25" customHeight="1">
      <c r="A117" s="157" t="s">
        <v>558</v>
      </c>
      <c r="B117" s="186">
        <v>26</v>
      </c>
      <c r="C117" s="188">
        <v>31</v>
      </c>
      <c r="D117" s="188">
        <v>1306</v>
      </c>
      <c r="E117" s="188">
        <v>1462</v>
      </c>
      <c r="F117" s="188">
        <v>303</v>
      </c>
      <c r="G117" s="188">
        <v>824</v>
      </c>
      <c r="H117" s="188">
        <v>228</v>
      </c>
      <c r="I117" s="143"/>
    </row>
    <row r="118" spans="1:9" ht="14.25" customHeight="1">
      <c r="A118" s="157" t="s">
        <v>559</v>
      </c>
      <c r="B118" s="186">
        <v>34</v>
      </c>
      <c r="C118" s="188">
        <v>46</v>
      </c>
      <c r="D118" s="188">
        <v>1715</v>
      </c>
      <c r="E118" s="188">
        <v>1965</v>
      </c>
      <c r="F118" s="188">
        <v>555</v>
      </c>
      <c r="G118" s="188">
        <v>1398</v>
      </c>
      <c r="H118" s="188">
        <v>472</v>
      </c>
      <c r="I118" s="143"/>
    </row>
    <row r="119" spans="1:9" ht="14.25" customHeight="1">
      <c r="A119" s="157" t="s">
        <v>560</v>
      </c>
      <c r="B119" s="186">
        <v>34</v>
      </c>
      <c r="C119" s="188">
        <v>40</v>
      </c>
      <c r="D119" s="188">
        <v>1252</v>
      </c>
      <c r="E119" s="188">
        <v>1371</v>
      </c>
      <c r="F119" s="188">
        <v>199</v>
      </c>
      <c r="G119" s="188">
        <v>714</v>
      </c>
      <c r="H119" s="188">
        <v>168</v>
      </c>
      <c r="I119" s="143"/>
    </row>
    <row r="120" spans="1:9" ht="14.25" customHeight="1">
      <c r="A120" s="157" t="s">
        <v>561</v>
      </c>
      <c r="B120" s="186">
        <v>47</v>
      </c>
      <c r="C120" s="188">
        <v>71</v>
      </c>
      <c r="D120" s="188">
        <v>3154</v>
      </c>
      <c r="E120" s="188">
        <v>3085</v>
      </c>
      <c r="F120" s="188">
        <v>962</v>
      </c>
      <c r="G120" s="188">
        <v>2162</v>
      </c>
      <c r="H120" s="188">
        <v>854</v>
      </c>
      <c r="I120" s="143"/>
    </row>
    <row r="121" spans="1:9" ht="14.25" customHeight="1">
      <c r="A121" s="157" t="s">
        <v>562</v>
      </c>
      <c r="B121" s="186">
        <v>27</v>
      </c>
      <c r="C121" s="188">
        <v>29</v>
      </c>
      <c r="D121" s="188">
        <v>1383</v>
      </c>
      <c r="E121" s="188">
        <v>1256</v>
      </c>
      <c r="F121" s="188">
        <v>238</v>
      </c>
      <c r="G121" s="188">
        <v>943</v>
      </c>
      <c r="H121" s="188">
        <v>204</v>
      </c>
      <c r="I121" s="143"/>
    </row>
    <row r="122" spans="1:9" ht="14.25" customHeight="1">
      <c r="A122" s="157" t="s">
        <v>563</v>
      </c>
      <c r="B122" s="186">
        <v>44</v>
      </c>
      <c r="C122" s="188">
        <v>60</v>
      </c>
      <c r="D122" s="188">
        <v>3506</v>
      </c>
      <c r="E122" s="188">
        <v>3453</v>
      </c>
      <c r="F122" s="188">
        <v>1057</v>
      </c>
      <c r="G122" s="188">
        <v>2428</v>
      </c>
      <c r="H122" s="188">
        <v>900</v>
      </c>
      <c r="I122" s="143"/>
    </row>
    <row r="123" spans="1:9" ht="14.25" customHeight="1">
      <c r="A123" s="157" t="s">
        <v>564</v>
      </c>
      <c r="B123" s="186">
        <v>21</v>
      </c>
      <c r="C123" s="188">
        <v>25</v>
      </c>
      <c r="D123" s="188">
        <v>1451</v>
      </c>
      <c r="E123" s="188">
        <v>1332</v>
      </c>
      <c r="F123" s="188">
        <v>289</v>
      </c>
      <c r="G123" s="188">
        <v>1027</v>
      </c>
      <c r="H123" s="188">
        <v>205</v>
      </c>
      <c r="I123" s="143"/>
    </row>
    <row r="124" spans="1:9" ht="14.25" customHeight="1">
      <c r="A124" s="157" t="s">
        <v>565</v>
      </c>
      <c r="B124" s="186">
        <v>66</v>
      </c>
      <c r="C124" s="188">
        <v>112</v>
      </c>
      <c r="D124" s="188">
        <v>8574</v>
      </c>
      <c r="E124" s="188">
        <v>8303</v>
      </c>
      <c r="F124" s="188">
        <v>3121</v>
      </c>
      <c r="G124" s="188">
        <v>5106</v>
      </c>
      <c r="H124" s="188">
        <v>2087</v>
      </c>
      <c r="I124" s="143"/>
    </row>
    <row r="125" spans="1:9" ht="14.25" customHeight="1">
      <c r="A125" s="255" t="s">
        <v>566</v>
      </c>
      <c r="B125" s="186">
        <v>949</v>
      </c>
      <c r="C125" s="188">
        <v>1530</v>
      </c>
      <c r="D125" s="188">
        <v>62969</v>
      </c>
      <c r="E125" s="188">
        <v>73534</v>
      </c>
      <c r="F125" s="188">
        <v>20838</v>
      </c>
      <c r="G125" s="188">
        <v>54260</v>
      </c>
      <c r="H125" s="188">
        <v>17292</v>
      </c>
      <c r="I125" s="143"/>
    </row>
    <row r="126" spans="1:9" ht="14.25" customHeight="1">
      <c r="A126" s="157" t="s">
        <v>567</v>
      </c>
      <c r="B126" s="186">
        <v>949</v>
      </c>
      <c r="C126" s="188">
        <v>1530</v>
      </c>
      <c r="D126" s="188">
        <v>62969</v>
      </c>
      <c r="E126" s="188">
        <v>73534</v>
      </c>
      <c r="F126" s="188">
        <v>20838</v>
      </c>
      <c r="G126" s="188">
        <v>54260</v>
      </c>
      <c r="H126" s="188">
        <v>17292</v>
      </c>
      <c r="I126" s="143"/>
    </row>
    <row r="127" spans="1:9" ht="14.25" customHeight="1">
      <c r="A127" s="157" t="s">
        <v>568</v>
      </c>
      <c r="B127" s="186">
        <v>165</v>
      </c>
      <c r="C127" s="188">
        <v>263</v>
      </c>
      <c r="D127" s="188">
        <v>11013</v>
      </c>
      <c r="E127" s="188">
        <v>13423</v>
      </c>
      <c r="F127" s="188">
        <v>3834</v>
      </c>
      <c r="G127" s="188">
        <v>9679</v>
      </c>
      <c r="H127" s="188">
        <v>3046</v>
      </c>
      <c r="I127" s="143"/>
    </row>
    <row r="128" spans="1:9" ht="14.25" customHeight="1">
      <c r="A128" s="157" t="s">
        <v>569</v>
      </c>
      <c r="B128" s="186">
        <v>25</v>
      </c>
      <c r="C128" s="188">
        <v>42</v>
      </c>
      <c r="D128" s="188">
        <v>1887</v>
      </c>
      <c r="E128" s="188">
        <v>1919</v>
      </c>
      <c r="F128" s="188">
        <v>451</v>
      </c>
      <c r="G128" s="188">
        <v>1419</v>
      </c>
      <c r="H128" s="188">
        <v>310</v>
      </c>
      <c r="I128" s="143"/>
    </row>
    <row r="129" spans="1:9" ht="14.25" customHeight="1">
      <c r="A129" s="157" t="s">
        <v>570</v>
      </c>
      <c r="B129" s="186">
        <v>42</v>
      </c>
      <c r="C129" s="188">
        <v>70</v>
      </c>
      <c r="D129" s="188">
        <v>3722</v>
      </c>
      <c r="E129" s="188">
        <v>4814</v>
      </c>
      <c r="F129" s="188">
        <v>1318</v>
      </c>
      <c r="G129" s="188">
        <v>3570</v>
      </c>
      <c r="H129" s="188">
        <v>1094</v>
      </c>
      <c r="I129" s="143"/>
    </row>
    <row r="130" spans="1:9" ht="14.25" customHeight="1">
      <c r="A130" s="157" t="s">
        <v>571</v>
      </c>
      <c r="B130" s="186">
        <v>85</v>
      </c>
      <c r="C130" s="188">
        <v>134</v>
      </c>
      <c r="D130" s="188">
        <v>4702</v>
      </c>
      <c r="E130" s="188">
        <v>6010</v>
      </c>
      <c r="F130" s="188">
        <v>1870</v>
      </c>
      <c r="G130" s="188">
        <v>4377</v>
      </c>
      <c r="H130" s="188">
        <v>1538</v>
      </c>
      <c r="I130" s="143"/>
    </row>
    <row r="131" spans="1:9" ht="14.25" customHeight="1">
      <c r="A131" s="157" t="s">
        <v>572</v>
      </c>
      <c r="B131" s="186">
        <v>13</v>
      </c>
      <c r="C131" s="188">
        <v>17</v>
      </c>
      <c r="D131" s="188">
        <v>702</v>
      </c>
      <c r="E131" s="188">
        <v>680</v>
      </c>
      <c r="F131" s="188">
        <v>195</v>
      </c>
      <c r="G131" s="188">
        <v>313</v>
      </c>
      <c r="H131" s="188">
        <v>104</v>
      </c>
      <c r="I131" s="143"/>
    </row>
    <row r="132" spans="1:9" ht="14.25" customHeight="1">
      <c r="A132" s="157" t="s">
        <v>573</v>
      </c>
      <c r="B132" s="186">
        <v>189</v>
      </c>
      <c r="C132" s="188">
        <v>317</v>
      </c>
      <c r="D132" s="188">
        <v>17614</v>
      </c>
      <c r="E132" s="188">
        <v>18896</v>
      </c>
      <c r="F132" s="188">
        <v>6598</v>
      </c>
      <c r="G132" s="188">
        <v>14427</v>
      </c>
      <c r="H132" s="188">
        <v>5393</v>
      </c>
      <c r="I132" s="143"/>
    </row>
    <row r="133" spans="1:9" ht="14.25" customHeight="1">
      <c r="A133" s="157" t="s">
        <v>574</v>
      </c>
      <c r="B133" s="186">
        <v>189</v>
      </c>
      <c r="C133" s="188">
        <v>317</v>
      </c>
      <c r="D133" s="188">
        <v>17614</v>
      </c>
      <c r="E133" s="188">
        <v>18896</v>
      </c>
      <c r="F133" s="188">
        <v>6598</v>
      </c>
      <c r="G133" s="188">
        <v>14427</v>
      </c>
      <c r="H133" s="188">
        <v>5393</v>
      </c>
      <c r="I133" s="143"/>
    </row>
    <row r="134" spans="1:9" ht="14.25" customHeight="1">
      <c r="A134" s="157" t="s">
        <v>575</v>
      </c>
      <c r="B134" s="186">
        <v>240</v>
      </c>
      <c r="C134" s="188">
        <v>388</v>
      </c>
      <c r="D134" s="188">
        <v>12877</v>
      </c>
      <c r="E134" s="188">
        <v>16183</v>
      </c>
      <c r="F134" s="188">
        <v>4731</v>
      </c>
      <c r="G134" s="188">
        <v>12511</v>
      </c>
      <c r="H134" s="188">
        <v>4079</v>
      </c>
      <c r="I134" s="143"/>
    </row>
    <row r="135" spans="1:9" ht="14.25" customHeight="1">
      <c r="A135" s="157" t="s">
        <v>576</v>
      </c>
      <c r="B135" s="186">
        <v>45</v>
      </c>
      <c r="C135" s="188">
        <v>75</v>
      </c>
      <c r="D135" s="188">
        <v>2636</v>
      </c>
      <c r="E135" s="188">
        <v>2922</v>
      </c>
      <c r="F135" s="188">
        <v>892</v>
      </c>
      <c r="G135" s="188">
        <v>2317</v>
      </c>
      <c r="H135" s="188">
        <v>769</v>
      </c>
      <c r="I135" s="143"/>
    </row>
    <row r="136" spans="1:9" ht="14.25" customHeight="1">
      <c r="A136" s="157" t="s">
        <v>577</v>
      </c>
      <c r="B136" s="186">
        <v>43</v>
      </c>
      <c r="C136" s="188">
        <v>101</v>
      </c>
      <c r="D136" s="188">
        <v>2101</v>
      </c>
      <c r="E136" s="188">
        <v>2847</v>
      </c>
      <c r="F136" s="188">
        <v>916</v>
      </c>
      <c r="G136" s="188">
        <v>2357</v>
      </c>
      <c r="H136" s="188">
        <v>853</v>
      </c>
      <c r="I136" s="143"/>
    </row>
    <row r="137" spans="1:9" ht="14.25" customHeight="1">
      <c r="A137" s="157" t="s">
        <v>578</v>
      </c>
      <c r="B137" s="186">
        <v>34</v>
      </c>
      <c r="C137" s="188">
        <v>54</v>
      </c>
      <c r="D137" s="188">
        <v>1933</v>
      </c>
      <c r="E137" s="188">
        <v>2482</v>
      </c>
      <c r="F137" s="188">
        <v>704</v>
      </c>
      <c r="G137" s="188">
        <v>1766</v>
      </c>
      <c r="H137" s="188">
        <v>608</v>
      </c>
      <c r="I137" s="143"/>
    </row>
    <row r="138" spans="1:9" ht="14.25" customHeight="1">
      <c r="A138" s="157" t="s">
        <v>579</v>
      </c>
      <c r="B138" s="186">
        <v>41</v>
      </c>
      <c r="C138" s="188">
        <v>55</v>
      </c>
      <c r="D138" s="188">
        <v>1876</v>
      </c>
      <c r="E138" s="188">
        <v>2676</v>
      </c>
      <c r="F138" s="188">
        <v>583</v>
      </c>
      <c r="G138" s="188">
        <v>1888</v>
      </c>
      <c r="H138" s="188">
        <v>409</v>
      </c>
      <c r="I138" s="143"/>
    </row>
    <row r="139" spans="1:9" ht="14.25" customHeight="1">
      <c r="A139" s="157" t="s">
        <v>532</v>
      </c>
      <c r="B139" s="186">
        <v>46</v>
      </c>
      <c r="C139" s="188">
        <v>65</v>
      </c>
      <c r="D139" s="188">
        <v>2895</v>
      </c>
      <c r="E139" s="188">
        <v>3385</v>
      </c>
      <c r="F139" s="188">
        <v>1210</v>
      </c>
      <c r="G139" s="188">
        <v>2759</v>
      </c>
      <c r="H139" s="188">
        <v>1088</v>
      </c>
      <c r="I139" s="143"/>
    </row>
    <row r="140" spans="1:9" ht="14.25" customHeight="1">
      <c r="A140" s="157" t="s">
        <v>580</v>
      </c>
      <c r="B140" s="186">
        <v>31</v>
      </c>
      <c r="C140" s="188">
        <v>38</v>
      </c>
      <c r="D140" s="188">
        <v>1436</v>
      </c>
      <c r="E140" s="188">
        <v>1871</v>
      </c>
      <c r="F140" s="188">
        <v>426</v>
      </c>
      <c r="G140" s="188">
        <v>1424</v>
      </c>
      <c r="H140" s="188">
        <v>352</v>
      </c>
      <c r="I140" s="143"/>
    </row>
    <row r="141" spans="1:9" ht="14.25" customHeight="1">
      <c r="A141" s="157" t="s">
        <v>581</v>
      </c>
      <c r="B141" s="186">
        <v>204</v>
      </c>
      <c r="C141" s="188">
        <v>339</v>
      </c>
      <c r="D141" s="188">
        <v>11161</v>
      </c>
      <c r="E141" s="188">
        <v>13698</v>
      </c>
      <c r="F141" s="188">
        <v>2915</v>
      </c>
      <c r="G141" s="188">
        <v>9254</v>
      </c>
      <c r="H141" s="188">
        <v>2398</v>
      </c>
      <c r="I141" s="143"/>
    </row>
    <row r="142" spans="1:9" ht="14.25" customHeight="1">
      <c r="A142" s="157" t="s">
        <v>582</v>
      </c>
      <c r="B142" s="186">
        <v>23</v>
      </c>
      <c r="C142" s="188">
        <v>32</v>
      </c>
      <c r="D142" s="188">
        <v>1261</v>
      </c>
      <c r="E142" s="188">
        <v>1705</v>
      </c>
      <c r="F142" s="188">
        <v>272</v>
      </c>
      <c r="G142" s="188">
        <v>1314</v>
      </c>
      <c r="H142" s="188">
        <v>245</v>
      </c>
      <c r="I142" s="143"/>
    </row>
    <row r="143" spans="1:9" ht="14.25" customHeight="1">
      <c r="A143" s="157" t="s">
        <v>583</v>
      </c>
      <c r="B143" s="186">
        <v>23</v>
      </c>
      <c r="C143" s="188">
        <v>46</v>
      </c>
      <c r="D143" s="188">
        <v>2421</v>
      </c>
      <c r="E143" s="188">
        <v>2608</v>
      </c>
      <c r="F143" s="188">
        <v>361</v>
      </c>
      <c r="G143" s="188">
        <v>1034</v>
      </c>
      <c r="H143" s="188">
        <v>296</v>
      </c>
      <c r="I143" s="143"/>
    </row>
    <row r="144" spans="1:9" ht="14.25" customHeight="1">
      <c r="A144" s="157" t="s">
        <v>584</v>
      </c>
      <c r="B144" s="186">
        <v>19</v>
      </c>
      <c r="C144" s="188">
        <v>43</v>
      </c>
      <c r="D144" s="188">
        <v>890</v>
      </c>
      <c r="E144" s="188">
        <v>1276</v>
      </c>
      <c r="F144" s="188">
        <v>374</v>
      </c>
      <c r="G144" s="188">
        <v>871</v>
      </c>
      <c r="H144" s="188">
        <v>247</v>
      </c>
      <c r="I144" s="143"/>
    </row>
    <row r="145" spans="1:9" ht="14.25" customHeight="1">
      <c r="A145" s="157" t="s">
        <v>585</v>
      </c>
      <c r="B145" s="186">
        <v>54</v>
      </c>
      <c r="C145" s="188">
        <v>92</v>
      </c>
      <c r="D145" s="188">
        <v>2681</v>
      </c>
      <c r="E145" s="188">
        <v>3305</v>
      </c>
      <c r="F145" s="188">
        <v>941</v>
      </c>
      <c r="G145" s="188">
        <v>2472</v>
      </c>
      <c r="H145" s="188">
        <v>811</v>
      </c>
      <c r="I145" s="143"/>
    </row>
    <row r="146" spans="1:9" ht="14.25" customHeight="1">
      <c r="A146" s="157" t="s">
        <v>586</v>
      </c>
      <c r="B146" s="186">
        <v>34</v>
      </c>
      <c r="C146" s="188">
        <v>50</v>
      </c>
      <c r="D146" s="188">
        <v>1635</v>
      </c>
      <c r="E146" s="188">
        <v>2012</v>
      </c>
      <c r="F146" s="188">
        <v>277</v>
      </c>
      <c r="G146" s="188">
        <v>1376</v>
      </c>
      <c r="H146" s="188">
        <v>200</v>
      </c>
      <c r="I146" s="143"/>
    </row>
    <row r="147" spans="1:9" ht="14.25" customHeight="1">
      <c r="A147" s="157" t="s">
        <v>587</v>
      </c>
      <c r="B147" s="186">
        <v>26</v>
      </c>
      <c r="C147" s="188">
        <v>31</v>
      </c>
      <c r="D147" s="188">
        <v>873</v>
      </c>
      <c r="E147" s="188">
        <v>1060</v>
      </c>
      <c r="F147" s="188">
        <v>160</v>
      </c>
      <c r="G147" s="188">
        <v>730</v>
      </c>
      <c r="H147" s="188">
        <v>120</v>
      </c>
      <c r="I147" s="143"/>
    </row>
    <row r="148" spans="1:9" ht="14.25" customHeight="1">
      <c r="A148" s="157" t="s">
        <v>588</v>
      </c>
      <c r="B148" s="186">
        <v>25</v>
      </c>
      <c r="C148" s="188">
        <v>45</v>
      </c>
      <c r="D148" s="188">
        <v>1400</v>
      </c>
      <c r="E148" s="188">
        <v>1732</v>
      </c>
      <c r="F148" s="188">
        <v>530</v>
      </c>
      <c r="G148" s="188">
        <v>1457</v>
      </c>
      <c r="H148" s="188">
        <v>479</v>
      </c>
      <c r="I148" s="143"/>
    </row>
    <row r="149" spans="1:9" ht="14.25" customHeight="1">
      <c r="A149" s="157" t="s">
        <v>589</v>
      </c>
      <c r="B149" s="186">
        <v>14</v>
      </c>
      <c r="C149" s="188">
        <v>16</v>
      </c>
      <c r="D149" s="188">
        <v>825</v>
      </c>
      <c r="E149" s="188">
        <v>903</v>
      </c>
      <c r="F149" s="188">
        <v>172</v>
      </c>
      <c r="G149" s="188">
        <v>624</v>
      </c>
      <c r="H149" s="188">
        <v>162</v>
      </c>
      <c r="I149" s="143"/>
    </row>
    <row r="150" spans="1:9" ht="14.25" customHeight="1">
      <c r="A150" s="157" t="s">
        <v>590</v>
      </c>
      <c r="B150" s="186">
        <v>29</v>
      </c>
      <c r="C150" s="188">
        <v>42</v>
      </c>
      <c r="D150" s="188">
        <v>1954</v>
      </c>
      <c r="E150" s="188">
        <v>2387</v>
      </c>
      <c r="F150" s="188">
        <v>662</v>
      </c>
      <c r="G150" s="188">
        <v>1764</v>
      </c>
      <c r="H150" s="188">
        <v>596</v>
      </c>
      <c r="I150" s="143"/>
    </row>
    <row r="151" spans="1:9" ht="14.25" customHeight="1">
      <c r="A151" s="157" t="s">
        <v>591</v>
      </c>
      <c r="B151" s="186">
        <v>17</v>
      </c>
      <c r="C151" s="188">
        <v>31</v>
      </c>
      <c r="D151" s="188">
        <v>2335</v>
      </c>
      <c r="E151" s="188">
        <v>2227</v>
      </c>
      <c r="F151" s="188">
        <v>564</v>
      </c>
      <c r="G151" s="188">
        <v>1978</v>
      </c>
      <c r="H151" s="188">
        <v>508</v>
      </c>
      <c r="I151" s="143"/>
    </row>
    <row r="152" spans="1:9" ht="14.25" customHeight="1">
      <c r="A152" s="157" t="s">
        <v>592</v>
      </c>
      <c r="B152" s="186">
        <v>42</v>
      </c>
      <c r="C152" s="188">
        <v>66</v>
      </c>
      <c r="D152" s="188">
        <v>2321</v>
      </c>
      <c r="E152" s="188">
        <v>2620</v>
      </c>
      <c r="F152" s="188">
        <v>570</v>
      </c>
      <c r="G152" s="188">
        <v>1680</v>
      </c>
      <c r="H152" s="188">
        <v>419</v>
      </c>
      <c r="I152" s="143"/>
    </row>
    <row r="153" spans="1:9" ht="14.25" customHeight="1">
      <c r="A153" s="157" t="s">
        <v>593</v>
      </c>
      <c r="B153" s="186">
        <v>26</v>
      </c>
      <c r="C153" s="188">
        <v>31</v>
      </c>
      <c r="D153" s="188">
        <v>1712</v>
      </c>
      <c r="E153" s="188">
        <v>1747</v>
      </c>
      <c r="F153" s="188">
        <v>381</v>
      </c>
      <c r="G153" s="188">
        <v>1396</v>
      </c>
      <c r="H153" s="188">
        <v>348</v>
      </c>
      <c r="I153" s="143"/>
    </row>
    <row r="154" spans="1:9" ht="14.25" customHeight="1">
      <c r="A154" s="157" t="s">
        <v>594</v>
      </c>
      <c r="B154" s="186">
        <v>14</v>
      </c>
      <c r="C154" s="188">
        <v>16</v>
      </c>
      <c r="D154" s="188">
        <v>825</v>
      </c>
      <c r="E154" s="188">
        <v>903</v>
      </c>
      <c r="F154" s="188">
        <v>172</v>
      </c>
      <c r="G154" s="188">
        <v>624</v>
      </c>
      <c r="H154" s="188">
        <v>162</v>
      </c>
      <c r="I154" s="143"/>
    </row>
    <row r="155" spans="1:9" ht="14.25" customHeight="1">
      <c r="A155" s="157" t="s">
        <v>595</v>
      </c>
      <c r="B155" s="186">
        <v>22</v>
      </c>
      <c r="C155" s="188">
        <v>34</v>
      </c>
      <c r="D155" s="188">
        <v>2168</v>
      </c>
      <c r="E155" s="188">
        <v>2417</v>
      </c>
      <c r="F155" s="188">
        <v>706</v>
      </c>
      <c r="G155" s="188">
        <v>1961</v>
      </c>
      <c r="H155" s="188">
        <v>593</v>
      </c>
      <c r="I155" s="143"/>
    </row>
    <row r="156" spans="1:9" ht="14.25" customHeight="1">
      <c r="A156" s="255" t="s">
        <v>596</v>
      </c>
      <c r="B156" s="186">
        <v>1574</v>
      </c>
      <c r="C156" s="188">
        <v>2453</v>
      </c>
      <c r="D156" s="188">
        <v>141481</v>
      </c>
      <c r="E156" s="188">
        <v>147601</v>
      </c>
      <c r="F156" s="188">
        <v>40377</v>
      </c>
      <c r="G156" s="188">
        <v>108865</v>
      </c>
      <c r="H156" s="188">
        <v>32451</v>
      </c>
      <c r="I156" s="143"/>
    </row>
    <row r="157" spans="1:9" ht="14.25" customHeight="1">
      <c r="A157" s="157" t="s">
        <v>597</v>
      </c>
      <c r="B157" s="186">
        <v>1574</v>
      </c>
      <c r="C157" s="188">
        <v>2453</v>
      </c>
      <c r="D157" s="188">
        <v>141481</v>
      </c>
      <c r="E157" s="188">
        <v>147601</v>
      </c>
      <c r="F157" s="188">
        <v>40377</v>
      </c>
      <c r="G157" s="188">
        <v>108865</v>
      </c>
      <c r="H157" s="188">
        <v>32451</v>
      </c>
      <c r="I157" s="143"/>
    </row>
    <row r="158" spans="1:9" ht="14.25" customHeight="1">
      <c r="A158" s="157" t="s">
        <v>598</v>
      </c>
      <c r="B158" s="186">
        <v>381</v>
      </c>
      <c r="C158" s="188">
        <v>533</v>
      </c>
      <c r="D158" s="188">
        <v>36748</v>
      </c>
      <c r="E158" s="188">
        <v>37944</v>
      </c>
      <c r="F158" s="188">
        <v>11011</v>
      </c>
      <c r="G158" s="188">
        <v>28709</v>
      </c>
      <c r="H158" s="188">
        <v>8849</v>
      </c>
      <c r="I158" s="143"/>
    </row>
    <row r="159" spans="1:9" ht="14.25" customHeight="1">
      <c r="A159" s="157" t="s">
        <v>599</v>
      </c>
      <c r="B159" s="186">
        <v>52</v>
      </c>
      <c r="C159" s="188">
        <v>69</v>
      </c>
      <c r="D159" s="188">
        <v>2515</v>
      </c>
      <c r="E159" s="188">
        <v>3292</v>
      </c>
      <c r="F159" s="188">
        <v>692</v>
      </c>
      <c r="G159" s="188">
        <v>2653</v>
      </c>
      <c r="H159" s="188">
        <v>668</v>
      </c>
      <c r="I159" s="143"/>
    </row>
    <row r="160" spans="1:9" ht="14.25" customHeight="1">
      <c r="A160" s="157" t="s">
        <v>600</v>
      </c>
      <c r="B160" s="186">
        <v>150</v>
      </c>
      <c r="C160" s="188">
        <v>218</v>
      </c>
      <c r="D160" s="188">
        <v>15333</v>
      </c>
      <c r="E160" s="188">
        <v>16037</v>
      </c>
      <c r="F160" s="188">
        <v>4392</v>
      </c>
      <c r="G160" s="188">
        <v>11381</v>
      </c>
      <c r="H160" s="188">
        <v>3202</v>
      </c>
      <c r="I160" s="143"/>
    </row>
    <row r="161" spans="1:9" ht="14.25" customHeight="1">
      <c r="A161" s="157" t="s">
        <v>601</v>
      </c>
      <c r="B161" s="186">
        <v>14</v>
      </c>
      <c r="C161" s="188">
        <v>22</v>
      </c>
      <c r="D161" s="188">
        <v>940</v>
      </c>
      <c r="E161" s="188">
        <v>911</v>
      </c>
      <c r="F161" s="188">
        <v>186</v>
      </c>
      <c r="G161" s="188">
        <v>695</v>
      </c>
      <c r="H161" s="188">
        <v>165</v>
      </c>
      <c r="I161" s="143"/>
    </row>
    <row r="162" spans="1:9" ht="14.25" customHeight="1">
      <c r="A162" s="157" t="s">
        <v>602</v>
      </c>
      <c r="B162" s="186">
        <v>79</v>
      </c>
      <c r="C162" s="188">
        <v>110</v>
      </c>
      <c r="D162" s="188">
        <v>7347</v>
      </c>
      <c r="E162" s="188">
        <v>7412</v>
      </c>
      <c r="F162" s="188">
        <v>2230</v>
      </c>
      <c r="G162" s="188">
        <v>5898</v>
      </c>
      <c r="H162" s="188">
        <v>1845</v>
      </c>
      <c r="I162" s="143"/>
    </row>
    <row r="163" spans="1:9" ht="14.25" customHeight="1">
      <c r="A163" s="157" t="s">
        <v>603</v>
      </c>
      <c r="B163" s="186">
        <v>14</v>
      </c>
      <c r="C163" s="188">
        <v>17</v>
      </c>
      <c r="D163" s="188">
        <v>950</v>
      </c>
      <c r="E163" s="188">
        <v>900</v>
      </c>
      <c r="F163" s="188">
        <v>217</v>
      </c>
      <c r="G163" s="188">
        <v>736</v>
      </c>
      <c r="H163" s="188">
        <v>211</v>
      </c>
      <c r="I163" s="143"/>
    </row>
    <row r="164" spans="1:9" ht="14.25" customHeight="1">
      <c r="A164" s="157" t="s">
        <v>604</v>
      </c>
      <c r="B164" s="186">
        <v>72</v>
      </c>
      <c r="C164" s="188">
        <v>97</v>
      </c>
      <c r="D164" s="188">
        <v>9663</v>
      </c>
      <c r="E164" s="188">
        <v>9392</v>
      </c>
      <c r="F164" s="188">
        <v>3294</v>
      </c>
      <c r="G164" s="188">
        <v>7346</v>
      </c>
      <c r="H164" s="188">
        <v>2758</v>
      </c>
      <c r="I164" s="143"/>
    </row>
    <row r="165" spans="1:9" ht="14.25" customHeight="1">
      <c r="A165" s="157" t="s">
        <v>605</v>
      </c>
      <c r="B165" s="186">
        <v>244</v>
      </c>
      <c r="C165" s="188">
        <v>519</v>
      </c>
      <c r="D165" s="188">
        <v>37926</v>
      </c>
      <c r="E165" s="188">
        <v>39678</v>
      </c>
      <c r="F165" s="188">
        <v>12887</v>
      </c>
      <c r="G165" s="188">
        <v>27040</v>
      </c>
      <c r="H165" s="188">
        <v>9471</v>
      </c>
      <c r="I165" s="143"/>
    </row>
    <row r="166" spans="1:9" ht="14.25" customHeight="1">
      <c r="A166" s="157" t="s">
        <v>606</v>
      </c>
      <c r="B166" s="186">
        <v>244</v>
      </c>
      <c r="C166" s="188">
        <v>519</v>
      </c>
      <c r="D166" s="188">
        <v>37926</v>
      </c>
      <c r="E166" s="188">
        <v>39678</v>
      </c>
      <c r="F166" s="188">
        <v>12887</v>
      </c>
      <c r="G166" s="188">
        <v>27040</v>
      </c>
      <c r="H166" s="188">
        <v>9471</v>
      </c>
      <c r="I166" s="143"/>
    </row>
    <row r="167" spans="1:9" ht="14.25" customHeight="1">
      <c r="A167" s="157" t="s">
        <v>607</v>
      </c>
      <c r="B167" s="186">
        <v>285</v>
      </c>
      <c r="C167" s="188">
        <v>420</v>
      </c>
      <c r="D167" s="188">
        <v>20682</v>
      </c>
      <c r="E167" s="188">
        <v>21476</v>
      </c>
      <c r="F167" s="188">
        <v>5636</v>
      </c>
      <c r="G167" s="188">
        <v>16769</v>
      </c>
      <c r="H167" s="188">
        <v>4863</v>
      </c>
      <c r="I167" s="143"/>
    </row>
    <row r="168" spans="1:9" ht="14.25" customHeight="1">
      <c r="A168" s="157" t="s">
        <v>608</v>
      </c>
      <c r="B168" s="186">
        <v>61</v>
      </c>
      <c r="C168" s="188">
        <v>92</v>
      </c>
      <c r="D168" s="188">
        <v>3711</v>
      </c>
      <c r="E168" s="188">
        <v>3585</v>
      </c>
      <c r="F168" s="188">
        <v>896</v>
      </c>
      <c r="G168" s="188">
        <v>2853</v>
      </c>
      <c r="H168" s="188">
        <v>819</v>
      </c>
      <c r="I168" s="143"/>
    </row>
    <row r="169" spans="1:9" ht="14.25" customHeight="1">
      <c r="A169" s="157" t="s">
        <v>609</v>
      </c>
      <c r="B169" s="186">
        <v>70</v>
      </c>
      <c r="C169" s="188">
        <v>117</v>
      </c>
      <c r="D169" s="188">
        <v>5034</v>
      </c>
      <c r="E169" s="188">
        <v>5092</v>
      </c>
      <c r="F169" s="188">
        <v>1426</v>
      </c>
      <c r="G169" s="188">
        <v>3878</v>
      </c>
      <c r="H169" s="188">
        <v>1219</v>
      </c>
      <c r="I169" s="143"/>
    </row>
    <row r="170" spans="1:9" ht="14.25" customHeight="1">
      <c r="A170" s="157" t="s">
        <v>610</v>
      </c>
      <c r="B170" s="186">
        <v>111</v>
      </c>
      <c r="C170" s="188">
        <v>148</v>
      </c>
      <c r="D170" s="188">
        <v>7062</v>
      </c>
      <c r="E170" s="188">
        <v>7954</v>
      </c>
      <c r="F170" s="188">
        <v>2001</v>
      </c>
      <c r="G170" s="188">
        <v>6250</v>
      </c>
      <c r="H170" s="188">
        <v>1754</v>
      </c>
      <c r="I170" s="143"/>
    </row>
    <row r="171" spans="1:9" ht="14.25" customHeight="1">
      <c r="A171" s="157" t="s">
        <v>611</v>
      </c>
      <c r="B171" s="186">
        <v>43</v>
      </c>
      <c r="C171" s="188">
        <v>63</v>
      </c>
      <c r="D171" s="188">
        <v>4875</v>
      </c>
      <c r="E171" s="188">
        <v>4845</v>
      </c>
      <c r="F171" s="188">
        <v>1313</v>
      </c>
      <c r="G171" s="188">
        <v>3788</v>
      </c>
      <c r="H171" s="188">
        <v>1071</v>
      </c>
      <c r="I171" s="143"/>
    </row>
    <row r="172" spans="1:9" ht="14.25" customHeight="1">
      <c r="A172" s="157" t="s">
        <v>612</v>
      </c>
      <c r="B172" s="186">
        <v>264</v>
      </c>
      <c r="C172" s="188">
        <v>367</v>
      </c>
      <c r="D172" s="188">
        <v>20379</v>
      </c>
      <c r="E172" s="188">
        <v>20432</v>
      </c>
      <c r="F172" s="188">
        <v>4806</v>
      </c>
      <c r="G172" s="188">
        <v>16354</v>
      </c>
      <c r="H172" s="188">
        <v>4342</v>
      </c>
      <c r="I172" s="143"/>
    </row>
    <row r="173" spans="1:9" ht="14.25" customHeight="1">
      <c r="A173" s="157" t="s">
        <v>613</v>
      </c>
      <c r="B173" s="186">
        <v>48</v>
      </c>
      <c r="C173" s="188">
        <v>64</v>
      </c>
      <c r="D173" s="188">
        <v>3840</v>
      </c>
      <c r="E173" s="188">
        <v>3570</v>
      </c>
      <c r="F173" s="188">
        <v>792</v>
      </c>
      <c r="G173" s="188">
        <v>2893</v>
      </c>
      <c r="H173" s="188">
        <v>744</v>
      </c>
      <c r="I173" s="143"/>
    </row>
    <row r="174" spans="1:9" ht="14.25" customHeight="1">
      <c r="A174" s="157" t="s">
        <v>614</v>
      </c>
      <c r="B174" s="186">
        <v>50</v>
      </c>
      <c r="C174" s="188">
        <v>76</v>
      </c>
      <c r="D174" s="188">
        <v>3427</v>
      </c>
      <c r="E174" s="188">
        <v>3629</v>
      </c>
      <c r="F174" s="188">
        <v>1142</v>
      </c>
      <c r="G174" s="188">
        <v>2876</v>
      </c>
      <c r="H174" s="188">
        <v>1008</v>
      </c>
      <c r="I174" s="143"/>
    </row>
    <row r="175" spans="1:9" ht="14.25" customHeight="1">
      <c r="A175" s="157" t="s">
        <v>615</v>
      </c>
      <c r="B175" s="186">
        <v>77</v>
      </c>
      <c r="C175" s="188">
        <v>92</v>
      </c>
      <c r="D175" s="188">
        <v>6586</v>
      </c>
      <c r="E175" s="188">
        <v>6748</v>
      </c>
      <c r="F175" s="188">
        <v>1706</v>
      </c>
      <c r="G175" s="188">
        <v>5546</v>
      </c>
      <c r="H175" s="188">
        <v>1544</v>
      </c>
      <c r="I175" s="143"/>
    </row>
    <row r="176" spans="1:9" ht="14.25" customHeight="1">
      <c r="A176" s="157" t="s">
        <v>616</v>
      </c>
      <c r="B176" s="186">
        <v>89</v>
      </c>
      <c r="C176" s="188">
        <v>135</v>
      </c>
      <c r="D176" s="188">
        <v>6526</v>
      </c>
      <c r="E176" s="188">
        <v>6485</v>
      </c>
      <c r="F176" s="188">
        <v>1166</v>
      </c>
      <c r="G176" s="188">
        <v>5039</v>
      </c>
      <c r="H176" s="188">
        <v>1046</v>
      </c>
      <c r="I176" s="143"/>
    </row>
    <row r="177" spans="1:9" ht="14.25" customHeight="1">
      <c r="A177" s="157" t="s">
        <v>617</v>
      </c>
      <c r="B177" s="186">
        <v>231</v>
      </c>
      <c r="C177" s="188">
        <v>354</v>
      </c>
      <c r="D177" s="188">
        <v>13655</v>
      </c>
      <c r="E177" s="188">
        <v>15804</v>
      </c>
      <c r="F177" s="188">
        <v>2848</v>
      </c>
      <c r="G177" s="188">
        <v>11191</v>
      </c>
      <c r="H177" s="188">
        <v>2346</v>
      </c>
      <c r="I177" s="143"/>
    </row>
    <row r="178" spans="1:9" ht="14.25" customHeight="1">
      <c r="A178" s="157" t="s">
        <v>618</v>
      </c>
      <c r="B178" s="186">
        <v>49</v>
      </c>
      <c r="C178" s="188">
        <v>77</v>
      </c>
      <c r="D178" s="188">
        <v>2733</v>
      </c>
      <c r="E178" s="188">
        <v>3244</v>
      </c>
      <c r="F178" s="188">
        <v>547</v>
      </c>
      <c r="G178" s="188">
        <v>2637</v>
      </c>
      <c r="H178" s="188">
        <v>528</v>
      </c>
      <c r="I178" s="143"/>
    </row>
    <row r="179" spans="1:9" ht="14.25" customHeight="1">
      <c r="A179" s="157" t="s">
        <v>619</v>
      </c>
      <c r="B179" s="186">
        <v>26</v>
      </c>
      <c r="C179" s="188">
        <v>35</v>
      </c>
      <c r="D179" s="188">
        <v>1137</v>
      </c>
      <c r="E179" s="188">
        <v>1608</v>
      </c>
      <c r="F179" s="188">
        <v>220</v>
      </c>
      <c r="G179" s="188">
        <v>996</v>
      </c>
      <c r="H179" s="188">
        <v>188</v>
      </c>
      <c r="I179" s="143"/>
    </row>
    <row r="180" spans="1:9" ht="14.25" customHeight="1">
      <c r="A180" s="157" t="s">
        <v>620</v>
      </c>
      <c r="B180" s="186">
        <v>105</v>
      </c>
      <c r="C180" s="188">
        <v>161</v>
      </c>
      <c r="D180" s="188">
        <v>5684</v>
      </c>
      <c r="E180" s="188">
        <v>6715</v>
      </c>
      <c r="F180" s="188">
        <v>1110</v>
      </c>
      <c r="G180" s="188">
        <v>4941</v>
      </c>
      <c r="H180" s="188">
        <v>960</v>
      </c>
      <c r="I180" s="143"/>
    </row>
    <row r="181" spans="1:9" ht="14.25" customHeight="1">
      <c r="A181" s="157" t="s">
        <v>621</v>
      </c>
      <c r="B181" s="186">
        <v>51</v>
      </c>
      <c r="C181" s="188">
        <v>81</v>
      </c>
      <c r="D181" s="188">
        <v>4101</v>
      </c>
      <c r="E181" s="188">
        <v>4237</v>
      </c>
      <c r="F181" s="188">
        <v>971</v>
      </c>
      <c r="G181" s="188">
        <v>2617</v>
      </c>
      <c r="H181" s="188">
        <v>670</v>
      </c>
      <c r="I181" s="143"/>
    </row>
    <row r="182" spans="1:9" ht="14.25" customHeight="1">
      <c r="A182" s="157" t="s">
        <v>622</v>
      </c>
      <c r="B182" s="186">
        <v>169</v>
      </c>
      <c r="C182" s="188">
        <v>260</v>
      </c>
      <c r="D182" s="188">
        <v>12091</v>
      </c>
      <c r="E182" s="188">
        <v>12267</v>
      </c>
      <c r="F182" s="188">
        <v>3189</v>
      </c>
      <c r="G182" s="188">
        <v>8802</v>
      </c>
      <c r="H182" s="188">
        <v>2580</v>
      </c>
      <c r="I182" s="143"/>
    </row>
    <row r="183" spans="1:9" ht="14.25" customHeight="1">
      <c r="A183" s="157" t="s">
        <v>623</v>
      </c>
      <c r="B183" s="186">
        <v>95</v>
      </c>
      <c r="C183" s="188">
        <v>140</v>
      </c>
      <c r="D183" s="188">
        <v>5804</v>
      </c>
      <c r="E183" s="188">
        <v>5939</v>
      </c>
      <c r="F183" s="188">
        <v>1347</v>
      </c>
      <c r="G183" s="188">
        <v>4208</v>
      </c>
      <c r="H183" s="188">
        <v>1166</v>
      </c>
      <c r="I183" s="143"/>
    </row>
    <row r="184" spans="1:9" ht="14.25" customHeight="1">
      <c r="A184" s="157" t="s">
        <v>624</v>
      </c>
      <c r="B184" s="186">
        <v>33</v>
      </c>
      <c r="C184" s="188">
        <v>46</v>
      </c>
      <c r="D184" s="188">
        <v>2930</v>
      </c>
      <c r="E184" s="188">
        <v>3154</v>
      </c>
      <c r="F184" s="188">
        <v>765</v>
      </c>
      <c r="G184" s="188">
        <v>2469</v>
      </c>
      <c r="H184" s="188">
        <v>687</v>
      </c>
      <c r="I184" s="143"/>
    </row>
    <row r="185" spans="1:9" ht="14.25" customHeight="1">
      <c r="A185" s="157" t="s">
        <v>625</v>
      </c>
      <c r="B185" s="186">
        <v>41</v>
      </c>
      <c r="C185" s="188">
        <v>74</v>
      </c>
      <c r="D185" s="188">
        <v>3357</v>
      </c>
      <c r="E185" s="188">
        <v>3174</v>
      </c>
      <c r="F185" s="188">
        <v>1077</v>
      </c>
      <c r="G185" s="188">
        <v>2125</v>
      </c>
      <c r="H185" s="188">
        <v>727</v>
      </c>
      <c r="I185" s="143"/>
    </row>
    <row r="186" spans="1:9" ht="14.25" customHeight="1">
      <c r="A186" s="255" t="s">
        <v>626</v>
      </c>
      <c r="B186" s="186">
        <v>1880</v>
      </c>
      <c r="C186" s="188">
        <v>3080</v>
      </c>
      <c r="D186" s="188">
        <v>232032</v>
      </c>
      <c r="E186" s="188">
        <v>234926</v>
      </c>
      <c r="F186" s="188">
        <v>74698</v>
      </c>
      <c r="G186" s="188">
        <v>172317</v>
      </c>
      <c r="H186" s="188">
        <v>59965</v>
      </c>
      <c r="I186" s="143"/>
    </row>
    <row r="187" spans="1:9" ht="14.25" customHeight="1">
      <c r="A187" s="157" t="s">
        <v>627</v>
      </c>
      <c r="B187" s="186">
        <v>1035</v>
      </c>
      <c r="C187" s="188">
        <v>1763</v>
      </c>
      <c r="D187" s="188">
        <v>168409</v>
      </c>
      <c r="E187" s="188">
        <v>167682</v>
      </c>
      <c r="F187" s="188">
        <v>57440</v>
      </c>
      <c r="G187" s="188">
        <v>122470</v>
      </c>
      <c r="H187" s="188">
        <v>45781</v>
      </c>
      <c r="I187" s="143"/>
    </row>
    <row r="188" spans="1:9" ht="14.25" customHeight="1">
      <c r="A188" s="157" t="s">
        <v>628</v>
      </c>
      <c r="B188" s="186">
        <v>521</v>
      </c>
      <c r="C188" s="188">
        <v>973</v>
      </c>
      <c r="D188" s="188">
        <v>100505</v>
      </c>
      <c r="E188" s="188">
        <v>101790</v>
      </c>
      <c r="F188" s="188">
        <v>36233</v>
      </c>
      <c r="G188" s="188">
        <v>68540</v>
      </c>
      <c r="H188" s="188">
        <v>27003</v>
      </c>
      <c r="I188" s="143"/>
    </row>
    <row r="189" spans="1:9" ht="14.25" customHeight="1">
      <c r="A189" s="157" t="s">
        <v>629</v>
      </c>
      <c r="B189" s="186">
        <v>521</v>
      </c>
      <c r="C189" s="188">
        <v>973</v>
      </c>
      <c r="D189" s="188">
        <v>100505</v>
      </c>
      <c r="E189" s="188">
        <v>101790</v>
      </c>
      <c r="F189" s="188">
        <v>36233</v>
      </c>
      <c r="G189" s="188">
        <v>68540</v>
      </c>
      <c r="H189" s="188">
        <v>27003</v>
      </c>
      <c r="I189" s="143"/>
    </row>
    <row r="190" spans="1:9" ht="14.25" customHeight="1">
      <c r="A190" s="157" t="s">
        <v>630</v>
      </c>
      <c r="B190" s="186">
        <v>229</v>
      </c>
      <c r="C190" s="188">
        <v>341</v>
      </c>
      <c r="D190" s="188">
        <v>27454</v>
      </c>
      <c r="E190" s="188">
        <v>29636</v>
      </c>
      <c r="F190" s="188">
        <v>9319</v>
      </c>
      <c r="G190" s="188">
        <v>22996</v>
      </c>
      <c r="H190" s="188">
        <v>8007</v>
      </c>
      <c r="I190" s="143"/>
    </row>
    <row r="191" spans="1:9" ht="14.25" customHeight="1">
      <c r="A191" s="157" t="s">
        <v>631</v>
      </c>
      <c r="B191" s="186">
        <v>47</v>
      </c>
      <c r="C191" s="188">
        <v>68</v>
      </c>
      <c r="D191" s="188">
        <v>7057</v>
      </c>
      <c r="E191" s="188">
        <v>7407</v>
      </c>
      <c r="F191" s="188">
        <v>1513</v>
      </c>
      <c r="G191" s="188">
        <v>5078</v>
      </c>
      <c r="H191" s="188">
        <v>1219</v>
      </c>
      <c r="I191" s="143"/>
    </row>
    <row r="192" spans="1:9" ht="14.25" customHeight="1">
      <c r="A192" s="157" t="s">
        <v>632</v>
      </c>
      <c r="B192" s="186">
        <v>50</v>
      </c>
      <c r="C192" s="188">
        <v>74</v>
      </c>
      <c r="D192" s="188">
        <v>3890</v>
      </c>
      <c r="E192" s="188">
        <v>4114</v>
      </c>
      <c r="F192" s="188">
        <v>1224</v>
      </c>
      <c r="G192" s="188">
        <v>3508</v>
      </c>
      <c r="H192" s="188">
        <v>1068</v>
      </c>
      <c r="I192" s="143"/>
    </row>
    <row r="193" spans="1:9" ht="14.25" customHeight="1">
      <c r="A193" s="157" t="s">
        <v>633</v>
      </c>
      <c r="B193" s="186">
        <v>49</v>
      </c>
      <c r="C193" s="188">
        <v>78</v>
      </c>
      <c r="D193" s="188">
        <v>4785</v>
      </c>
      <c r="E193" s="188">
        <v>5782</v>
      </c>
      <c r="F193" s="188">
        <v>1770</v>
      </c>
      <c r="G193" s="188">
        <v>4254</v>
      </c>
      <c r="H193" s="188">
        <v>1434</v>
      </c>
      <c r="I193" s="143"/>
    </row>
    <row r="194" spans="1:9" ht="14.25" customHeight="1">
      <c r="A194" s="157" t="s">
        <v>634</v>
      </c>
      <c r="B194" s="186">
        <v>83</v>
      </c>
      <c r="C194" s="188">
        <v>121</v>
      </c>
      <c r="D194" s="188">
        <v>11722</v>
      </c>
      <c r="E194" s="188">
        <v>12333</v>
      </c>
      <c r="F194" s="188">
        <v>4812</v>
      </c>
      <c r="G194" s="188">
        <v>10156</v>
      </c>
      <c r="H194" s="188">
        <v>4286</v>
      </c>
      <c r="I194" s="143"/>
    </row>
    <row r="195" spans="1:9" ht="14.25" customHeight="1">
      <c r="A195" s="157" t="s">
        <v>635</v>
      </c>
      <c r="B195" s="186">
        <v>285</v>
      </c>
      <c r="C195" s="188">
        <v>449</v>
      </c>
      <c r="D195" s="188">
        <v>40450</v>
      </c>
      <c r="E195" s="188">
        <v>36256</v>
      </c>
      <c r="F195" s="188">
        <v>11888</v>
      </c>
      <c r="G195" s="188">
        <v>30934</v>
      </c>
      <c r="H195" s="188">
        <v>10771</v>
      </c>
      <c r="I195" s="143"/>
    </row>
    <row r="196" spans="1:9" ht="14.25" customHeight="1">
      <c r="A196" s="157" t="s">
        <v>636</v>
      </c>
      <c r="B196" s="186">
        <v>53</v>
      </c>
      <c r="C196" s="188">
        <v>76</v>
      </c>
      <c r="D196" s="188">
        <v>5106</v>
      </c>
      <c r="E196" s="188">
        <v>6011</v>
      </c>
      <c r="F196" s="188">
        <v>1879</v>
      </c>
      <c r="G196" s="188">
        <v>4800</v>
      </c>
      <c r="H196" s="188">
        <v>1663</v>
      </c>
      <c r="I196" s="143"/>
    </row>
    <row r="197" spans="1:9" ht="14.25" customHeight="1">
      <c r="A197" s="157" t="s">
        <v>637</v>
      </c>
      <c r="B197" s="186">
        <v>30</v>
      </c>
      <c r="C197" s="188">
        <v>51</v>
      </c>
      <c r="D197" s="188">
        <v>2538</v>
      </c>
      <c r="E197" s="188">
        <v>2625</v>
      </c>
      <c r="F197" s="188">
        <v>704</v>
      </c>
      <c r="G197" s="188">
        <v>2023</v>
      </c>
      <c r="H197" s="188">
        <v>596</v>
      </c>
      <c r="I197" s="143"/>
    </row>
    <row r="198" spans="1:9" ht="14.25" customHeight="1">
      <c r="A198" s="157" t="s">
        <v>638</v>
      </c>
      <c r="B198" s="186">
        <v>84</v>
      </c>
      <c r="C198" s="188">
        <v>139</v>
      </c>
      <c r="D198" s="188">
        <v>12356</v>
      </c>
      <c r="E198" s="188">
        <v>12291</v>
      </c>
      <c r="F198" s="188">
        <v>4353</v>
      </c>
      <c r="G198" s="188">
        <v>11067</v>
      </c>
      <c r="H198" s="188">
        <v>4046</v>
      </c>
      <c r="I198" s="143"/>
    </row>
    <row r="199" spans="1:9" ht="14.25" customHeight="1">
      <c r="A199" s="157" t="s">
        <v>639</v>
      </c>
      <c r="B199" s="186">
        <v>63</v>
      </c>
      <c r="C199" s="188">
        <v>97</v>
      </c>
      <c r="D199" s="188">
        <v>14693</v>
      </c>
      <c r="E199" s="188">
        <v>9656</v>
      </c>
      <c r="F199" s="188">
        <v>3499</v>
      </c>
      <c r="G199" s="188">
        <v>8403</v>
      </c>
      <c r="H199" s="188">
        <v>3210</v>
      </c>
      <c r="I199" s="143"/>
    </row>
    <row r="200" spans="1:9" ht="14.25" customHeight="1">
      <c r="A200" s="157" t="s">
        <v>640</v>
      </c>
      <c r="B200" s="186">
        <v>55</v>
      </c>
      <c r="C200" s="188">
        <v>86</v>
      </c>
      <c r="D200" s="188">
        <v>5757</v>
      </c>
      <c r="E200" s="188">
        <v>5673</v>
      </c>
      <c r="F200" s="188">
        <v>1453</v>
      </c>
      <c r="G200" s="188">
        <v>4641</v>
      </c>
      <c r="H200" s="188">
        <v>1256</v>
      </c>
      <c r="I200" s="143"/>
    </row>
    <row r="201" spans="1:9" ht="14.25" customHeight="1">
      <c r="A201" s="157" t="s">
        <v>641</v>
      </c>
      <c r="B201" s="186">
        <v>845</v>
      </c>
      <c r="C201" s="188">
        <v>1317</v>
      </c>
      <c r="D201" s="188">
        <v>63623</v>
      </c>
      <c r="E201" s="188">
        <v>67244</v>
      </c>
      <c r="F201" s="188">
        <v>17258</v>
      </c>
      <c r="G201" s="188">
        <v>49847</v>
      </c>
      <c r="H201" s="188">
        <v>14184</v>
      </c>
      <c r="I201" s="143"/>
    </row>
    <row r="202" spans="1:9" ht="14.25" customHeight="1">
      <c r="A202" s="157" t="s">
        <v>642</v>
      </c>
      <c r="B202" s="186">
        <v>106</v>
      </c>
      <c r="C202" s="188">
        <v>174</v>
      </c>
      <c r="D202" s="188">
        <v>8732</v>
      </c>
      <c r="E202" s="188">
        <v>8898</v>
      </c>
      <c r="F202" s="188">
        <v>2498</v>
      </c>
      <c r="G202" s="188">
        <v>6657</v>
      </c>
      <c r="H202" s="188">
        <v>2090</v>
      </c>
      <c r="I202" s="143"/>
    </row>
    <row r="203" spans="1:9" ht="14.25" customHeight="1">
      <c r="A203" s="157" t="s">
        <v>643</v>
      </c>
      <c r="B203" s="186">
        <v>30</v>
      </c>
      <c r="C203" s="188">
        <v>52</v>
      </c>
      <c r="D203" s="188">
        <v>2833</v>
      </c>
      <c r="E203" s="188">
        <v>2724</v>
      </c>
      <c r="F203" s="188">
        <v>800</v>
      </c>
      <c r="G203" s="188">
        <v>2276</v>
      </c>
      <c r="H203" s="188">
        <v>667</v>
      </c>
      <c r="I203" s="143"/>
    </row>
    <row r="204" spans="1:9" ht="14.25" customHeight="1">
      <c r="A204" s="157" t="s">
        <v>644</v>
      </c>
      <c r="B204" s="186">
        <v>24</v>
      </c>
      <c r="C204" s="188">
        <v>32</v>
      </c>
      <c r="D204" s="188">
        <v>2077</v>
      </c>
      <c r="E204" s="188">
        <v>2389</v>
      </c>
      <c r="F204" s="188">
        <v>787</v>
      </c>
      <c r="G204" s="188">
        <v>1603</v>
      </c>
      <c r="H204" s="188">
        <v>660</v>
      </c>
      <c r="I204" s="143"/>
    </row>
    <row r="205" spans="1:9" ht="14.25" customHeight="1">
      <c r="A205" s="157" t="s">
        <v>645</v>
      </c>
      <c r="B205" s="186">
        <v>31</v>
      </c>
      <c r="C205" s="188">
        <v>54</v>
      </c>
      <c r="D205" s="188">
        <v>1759</v>
      </c>
      <c r="E205" s="188">
        <v>1861</v>
      </c>
      <c r="F205" s="188">
        <v>413</v>
      </c>
      <c r="G205" s="188">
        <v>1397</v>
      </c>
      <c r="H205" s="188">
        <v>339</v>
      </c>
      <c r="I205" s="143"/>
    </row>
    <row r="206" spans="1:9" ht="14.25" customHeight="1">
      <c r="A206" s="157" t="s">
        <v>646</v>
      </c>
      <c r="B206" s="186">
        <v>13</v>
      </c>
      <c r="C206" s="188">
        <v>26</v>
      </c>
      <c r="D206" s="188">
        <v>1589</v>
      </c>
      <c r="E206" s="188">
        <v>1460</v>
      </c>
      <c r="F206" s="188">
        <v>373</v>
      </c>
      <c r="G206" s="188">
        <v>992</v>
      </c>
      <c r="H206" s="188">
        <v>299</v>
      </c>
      <c r="I206" s="143"/>
    </row>
    <row r="207" spans="1:9" ht="14.25" customHeight="1">
      <c r="A207" s="157" t="s">
        <v>647</v>
      </c>
      <c r="B207" s="186">
        <v>8</v>
      </c>
      <c r="C207" s="188">
        <v>10</v>
      </c>
      <c r="D207" s="188">
        <v>474</v>
      </c>
      <c r="E207" s="188">
        <v>464</v>
      </c>
      <c r="F207" s="188">
        <v>125</v>
      </c>
      <c r="G207" s="188">
        <v>389</v>
      </c>
      <c r="H207" s="188">
        <v>125</v>
      </c>
      <c r="I207" s="143"/>
    </row>
    <row r="208" spans="1:9" ht="14.25" customHeight="1">
      <c r="A208" s="157" t="s">
        <v>648</v>
      </c>
      <c r="B208" s="186">
        <v>149</v>
      </c>
      <c r="C208" s="188">
        <v>216</v>
      </c>
      <c r="D208" s="188">
        <v>11231</v>
      </c>
      <c r="E208" s="188">
        <v>11456</v>
      </c>
      <c r="F208" s="188">
        <v>2540</v>
      </c>
      <c r="G208" s="188">
        <v>8367</v>
      </c>
      <c r="H208" s="188">
        <v>2079</v>
      </c>
      <c r="I208" s="143"/>
    </row>
    <row r="209" spans="1:9" ht="14.25" customHeight="1">
      <c r="A209" s="157" t="s">
        <v>649</v>
      </c>
      <c r="B209" s="186">
        <v>17</v>
      </c>
      <c r="C209" s="188">
        <v>35</v>
      </c>
      <c r="D209" s="188">
        <v>1101</v>
      </c>
      <c r="E209" s="188">
        <v>1125</v>
      </c>
      <c r="F209" s="188">
        <v>206</v>
      </c>
      <c r="G209" s="188">
        <v>884</v>
      </c>
      <c r="H209" s="188">
        <v>154</v>
      </c>
      <c r="I209" s="143"/>
    </row>
    <row r="210" spans="1:9" ht="14.25" customHeight="1">
      <c r="A210" s="157" t="s">
        <v>650</v>
      </c>
      <c r="B210" s="186">
        <v>41</v>
      </c>
      <c r="C210" s="188">
        <v>64</v>
      </c>
      <c r="D210" s="188">
        <v>2500</v>
      </c>
      <c r="E210" s="188">
        <v>2546</v>
      </c>
      <c r="F210" s="188">
        <v>522</v>
      </c>
      <c r="G210" s="188">
        <v>1445</v>
      </c>
      <c r="H210" s="188">
        <v>384</v>
      </c>
      <c r="I210" s="143"/>
    </row>
    <row r="211" spans="1:9" ht="14.25" customHeight="1">
      <c r="A211" s="157" t="s">
        <v>651</v>
      </c>
      <c r="B211" s="186">
        <v>26</v>
      </c>
      <c r="C211" s="188">
        <v>35</v>
      </c>
      <c r="D211" s="188">
        <v>1780</v>
      </c>
      <c r="E211" s="188">
        <v>1852</v>
      </c>
      <c r="F211" s="188">
        <v>318</v>
      </c>
      <c r="G211" s="188">
        <v>1521</v>
      </c>
      <c r="H211" s="188">
        <v>259</v>
      </c>
      <c r="I211" s="143"/>
    </row>
    <row r="212" spans="1:9" ht="14.25" customHeight="1">
      <c r="A212" s="157" t="s">
        <v>652</v>
      </c>
      <c r="B212" s="186">
        <v>15</v>
      </c>
      <c r="C212" s="188">
        <v>19</v>
      </c>
      <c r="D212" s="188">
        <v>909</v>
      </c>
      <c r="E212" s="188">
        <v>941</v>
      </c>
      <c r="F212" s="188">
        <v>145</v>
      </c>
      <c r="G212" s="188">
        <v>684</v>
      </c>
      <c r="H212" s="188">
        <v>103</v>
      </c>
      <c r="I212" s="143"/>
    </row>
    <row r="213" spans="1:9" ht="14.25" customHeight="1">
      <c r="A213" s="157" t="s">
        <v>653</v>
      </c>
      <c r="B213" s="186">
        <v>18</v>
      </c>
      <c r="C213" s="188">
        <v>23</v>
      </c>
      <c r="D213" s="188">
        <v>1666</v>
      </c>
      <c r="E213" s="188">
        <v>1664</v>
      </c>
      <c r="F213" s="188">
        <v>582</v>
      </c>
      <c r="G213" s="188">
        <v>1342</v>
      </c>
      <c r="H213" s="188">
        <v>513</v>
      </c>
      <c r="I213" s="143"/>
    </row>
    <row r="214" spans="1:9" ht="14.25" customHeight="1">
      <c r="A214" s="157" t="s">
        <v>654</v>
      </c>
      <c r="B214" s="186">
        <v>32</v>
      </c>
      <c r="C214" s="188">
        <v>40</v>
      </c>
      <c r="D214" s="188">
        <v>3275</v>
      </c>
      <c r="E214" s="188">
        <v>3328</v>
      </c>
      <c r="F214" s="188">
        <v>767</v>
      </c>
      <c r="G214" s="188">
        <v>2491</v>
      </c>
      <c r="H214" s="188">
        <v>666</v>
      </c>
      <c r="I214" s="143"/>
    </row>
    <row r="215" spans="1:9" ht="14.25" customHeight="1">
      <c r="A215" s="157" t="s">
        <v>655</v>
      </c>
      <c r="B215" s="186">
        <v>204</v>
      </c>
      <c r="C215" s="188">
        <v>299</v>
      </c>
      <c r="D215" s="188">
        <v>12933</v>
      </c>
      <c r="E215" s="188">
        <v>15146</v>
      </c>
      <c r="F215" s="188">
        <v>3813</v>
      </c>
      <c r="G215" s="188">
        <v>12297</v>
      </c>
      <c r="H215" s="188">
        <v>3148</v>
      </c>
      <c r="I215" s="143"/>
    </row>
    <row r="216" spans="1:9" ht="14.25" customHeight="1">
      <c r="A216" s="157" t="s">
        <v>656</v>
      </c>
      <c r="B216" s="186">
        <v>10</v>
      </c>
      <c r="C216" s="188">
        <v>14</v>
      </c>
      <c r="D216" s="188">
        <v>361</v>
      </c>
      <c r="E216" s="188">
        <v>775</v>
      </c>
      <c r="F216" s="188">
        <v>90</v>
      </c>
      <c r="G216" s="188">
        <v>646</v>
      </c>
      <c r="H216" s="188">
        <v>82</v>
      </c>
      <c r="I216" s="143"/>
    </row>
    <row r="217" spans="1:9" ht="14.25" customHeight="1">
      <c r="A217" s="157" t="s">
        <v>657</v>
      </c>
      <c r="B217" s="186">
        <v>20</v>
      </c>
      <c r="C217" s="188">
        <v>24</v>
      </c>
      <c r="D217" s="188">
        <v>821</v>
      </c>
      <c r="E217" s="188">
        <v>1410</v>
      </c>
      <c r="F217" s="188">
        <v>407</v>
      </c>
      <c r="G217" s="188">
        <v>1169</v>
      </c>
      <c r="H217" s="188">
        <v>379</v>
      </c>
      <c r="I217" s="143"/>
    </row>
    <row r="218" spans="1:9" ht="14.25" customHeight="1">
      <c r="A218" s="157" t="s">
        <v>658</v>
      </c>
      <c r="B218" s="186">
        <v>13</v>
      </c>
      <c r="C218" s="188">
        <v>24</v>
      </c>
      <c r="D218" s="188">
        <v>669</v>
      </c>
      <c r="E218" s="188">
        <v>712</v>
      </c>
      <c r="F218" s="188">
        <v>193</v>
      </c>
      <c r="G218" s="188">
        <v>545</v>
      </c>
      <c r="H218" s="188">
        <v>175</v>
      </c>
      <c r="I218" s="143"/>
    </row>
    <row r="219" spans="1:9" ht="14.25" customHeight="1">
      <c r="A219" s="157" t="s">
        <v>659</v>
      </c>
      <c r="B219" s="186">
        <v>9</v>
      </c>
      <c r="C219" s="188">
        <v>12</v>
      </c>
      <c r="D219" s="188">
        <v>401</v>
      </c>
      <c r="E219" s="188">
        <v>487</v>
      </c>
      <c r="F219" s="188">
        <v>60</v>
      </c>
      <c r="G219" s="188">
        <v>329</v>
      </c>
      <c r="H219" s="188">
        <v>59</v>
      </c>
      <c r="I219" s="143"/>
    </row>
    <row r="220" spans="1:9" ht="14.25" customHeight="1">
      <c r="A220" s="157" t="s">
        <v>660</v>
      </c>
      <c r="B220" s="186">
        <v>57</v>
      </c>
      <c r="C220" s="188">
        <v>90</v>
      </c>
      <c r="D220" s="188">
        <v>3130</v>
      </c>
      <c r="E220" s="188">
        <v>3681</v>
      </c>
      <c r="F220" s="188">
        <v>1012</v>
      </c>
      <c r="G220" s="188">
        <v>2916</v>
      </c>
      <c r="H220" s="188">
        <v>840</v>
      </c>
      <c r="I220" s="143"/>
    </row>
    <row r="221" spans="1:9" ht="14.25" customHeight="1">
      <c r="A221" s="157" t="s">
        <v>661</v>
      </c>
      <c r="B221" s="186">
        <v>16</v>
      </c>
      <c r="C221" s="188">
        <v>38</v>
      </c>
      <c r="D221" s="188">
        <v>708</v>
      </c>
      <c r="E221" s="188">
        <v>1013</v>
      </c>
      <c r="F221" s="188">
        <v>298</v>
      </c>
      <c r="G221" s="188">
        <v>758</v>
      </c>
      <c r="H221" s="188">
        <v>227</v>
      </c>
      <c r="I221" s="143"/>
    </row>
    <row r="222" spans="1:9" ht="14.25" customHeight="1">
      <c r="A222" s="157" t="s">
        <v>662</v>
      </c>
      <c r="B222" s="186">
        <v>10</v>
      </c>
      <c r="C222" s="188">
        <v>15</v>
      </c>
      <c r="D222" s="188">
        <v>859</v>
      </c>
      <c r="E222" s="188">
        <v>1002</v>
      </c>
      <c r="F222" s="188">
        <v>187</v>
      </c>
      <c r="G222" s="188">
        <v>894</v>
      </c>
      <c r="H222" s="188">
        <v>186</v>
      </c>
      <c r="I222" s="143"/>
    </row>
    <row r="223" spans="1:9" ht="14.25" customHeight="1">
      <c r="A223" s="157" t="s">
        <v>663</v>
      </c>
      <c r="B223" s="186">
        <v>69</v>
      </c>
      <c r="C223" s="188">
        <v>82</v>
      </c>
      <c r="D223" s="188">
        <v>5984</v>
      </c>
      <c r="E223" s="188">
        <v>6066</v>
      </c>
      <c r="F223" s="188">
        <v>1566</v>
      </c>
      <c r="G223" s="188">
        <v>5040</v>
      </c>
      <c r="H223" s="188">
        <v>1200</v>
      </c>
      <c r="I223" s="143"/>
    </row>
    <row r="224" spans="1:9" ht="14.25" customHeight="1">
      <c r="A224" s="157" t="s">
        <v>664</v>
      </c>
      <c r="B224" s="186">
        <v>141</v>
      </c>
      <c r="C224" s="188">
        <v>205</v>
      </c>
      <c r="D224" s="188">
        <v>8397</v>
      </c>
      <c r="E224" s="188">
        <v>8766</v>
      </c>
      <c r="F224" s="188">
        <v>2253</v>
      </c>
      <c r="G224" s="188">
        <v>6731</v>
      </c>
      <c r="H224" s="188">
        <v>1884</v>
      </c>
      <c r="I224" s="143"/>
    </row>
    <row r="225" spans="1:9" ht="14.25" customHeight="1">
      <c r="A225" s="157" t="s">
        <v>665</v>
      </c>
      <c r="B225" s="186">
        <v>17</v>
      </c>
      <c r="C225" s="188">
        <v>23</v>
      </c>
      <c r="D225" s="188">
        <v>756</v>
      </c>
      <c r="E225" s="188">
        <v>752</v>
      </c>
      <c r="F225" s="188">
        <v>190</v>
      </c>
      <c r="G225" s="188">
        <v>615</v>
      </c>
      <c r="H225" s="188">
        <v>177</v>
      </c>
      <c r="I225" s="143"/>
    </row>
    <row r="226" spans="1:9" ht="14.25" customHeight="1">
      <c r="A226" s="157" t="s">
        <v>666</v>
      </c>
      <c r="B226" s="186">
        <v>40</v>
      </c>
      <c r="C226" s="188">
        <v>60</v>
      </c>
      <c r="D226" s="188">
        <v>2293</v>
      </c>
      <c r="E226" s="188">
        <v>2389</v>
      </c>
      <c r="F226" s="188">
        <v>323</v>
      </c>
      <c r="G226" s="188">
        <v>1725</v>
      </c>
      <c r="H226" s="188">
        <v>247</v>
      </c>
      <c r="I226" s="143"/>
    </row>
    <row r="227" spans="1:9" ht="14.25" customHeight="1">
      <c r="A227" s="157" t="s">
        <v>667</v>
      </c>
      <c r="B227" s="186">
        <v>27</v>
      </c>
      <c r="C227" s="188">
        <v>41</v>
      </c>
      <c r="D227" s="188">
        <v>1811</v>
      </c>
      <c r="E227" s="188">
        <v>1715</v>
      </c>
      <c r="F227" s="188">
        <v>521</v>
      </c>
      <c r="G227" s="188">
        <v>1388</v>
      </c>
      <c r="H227" s="188">
        <v>463</v>
      </c>
      <c r="I227" s="143"/>
    </row>
    <row r="228" spans="1:9" ht="14.25" customHeight="1">
      <c r="A228" s="157" t="s">
        <v>668</v>
      </c>
      <c r="B228" s="186">
        <v>57</v>
      </c>
      <c r="C228" s="188">
        <v>81</v>
      </c>
      <c r="D228" s="188">
        <v>3537</v>
      </c>
      <c r="E228" s="188">
        <v>3910</v>
      </c>
      <c r="F228" s="188">
        <v>1219</v>
      </c>
      <c r="G228" s="188">
        <v>3003</v>
      </c>
      <c r="H228" s="188">
        <v>997</v>
      </c>
      <c r="I228" s="143"/>
    </row>
    <row r="229" spans="1:9" ht="14.25" customHeight="1">
      <c r="A229" s="157" t="s">
        <v>669</v>
      </c>
      <c r="B229" s="186">
        <v>158</v>
      </c>
      <c r="C229" s="188">
        <v>294</v>
      </c>
      <c r="D229" s="188">
        <v>13382</v>
      </c>
      <c r="E229" s="188">
        <v>14018</v>
      </c>
      <c r="F229" s="188">
        <v>3710</v>
      </c>
      <c r="G229" s="188">
        <v>9667</v>
      </c>
      <c r="H229" s="188">
        <v>3180</v>
      </c>
      <c r="I229" s="143"/>
    </row>
    <row r="230" spans="1:9" ht="14.25" customHeight="1">
      <c r="A230" s="157" t="s">
        <v>670</v>
      </c>
      <c r="B230" s="186">
        <v>48</v>
      </c>
      <c r="C230" s="188">
        <v>88</v>
      </c>
      <c r="D230" s="188">
        <v>4206</v>
      </c>
      <c r="E230" s="188">
        <v>4314</v>
      </c>
      <c r="F230" s="188">
        <v>1201</v>
      </c>
      <c r="G230" s="188">
        <v>3046</v>
      </c>
      <c r="H230" s="188">
        <v>1098</v>
      </c>
      <c r="I230" s="143"/>
    </row>
    <row r="231" spans="1:9" ht="14.25" customHeight="1">
      <c r="A231" s="157" t="s">
        <v>671</v>
      </c>
      <c r="B231" s="186">
        <v>4</v>
      </c>
      <c r="C231" s="188">
        <v>8</v>
      </c>
      <c r="D231" s="188">
        <v>391</v>
      </c>
      <c r="E231" s="188">
        <v>391</v>
      </c>
      <c r="F231" s="188">
        <v>170</v>
      </c>
      <c r="G231" s="188">
        <v>323</v>
      </c>
      <c r="H231" s="188">
        <v>142</v>
      </c>
      <c r="I231" s="143"/>
    </row>
    <row r="232" spans="1:9" ht="14.25" customHeight="1">
      <c r="A232" s="157" t="s">
        <v>672</v>
      </c>
      <c r="B232" s="186">
        <v>30</v>
      </c>
      <c r="C232" s="188">
        <v>56</v>
      </c>
      <c r="D232" s="188">
        <v>1719</v>
      </c>
      <c r="E232" s="188">
        <v>1736</v>
      </c>
      <c r="F232" s="188">
        <v>482</v>
      </c>
      <c r="G232" s="188">
        <v>1267</v>
      </c>
      <c r="H232" s="188">
        <v>441</v>
      </c>
      <c r="I232" s="143"/>
    </row>
    <row r="233" spans="1:9" ht="14.25" customHeight="1">
      <c r="A233" s="157" t="s">
        <v>673</v>
      </c>
      <c r="B233" s="186">
        <v>18</v>
      </c>
      <c r="C233" s="188">
        <v>35</v>
      </c>
      <c r="D233" s="188">
        <v>1236</v>
      </c>
      <c r="E233" s="188">
        <v>1195</v>
      </c>
      <c r="F233" s="188">
        <v>319</v>
      </c>
      <c r="G233" s="188">
        <v>812</v>
      </c>
      <c r="H233" s="188">
        <v>249</v>
      </c>
      <c r="I233" s="143"/>
    </row>
    <row r="234" spans="1:9" ht="14.25" customHeight="1">
      <c r="A234" s="157" t="s">
        <v>674</v>
      </c>
      <c r="B234" s="186">
        <v>28</v>
      </c>
      <c r="C234" s="188">
        <v>49</v>
      </c>
      <c r="D234" s="188">
        <v>2107</v>
      </c>
      <c r="E234" s="188">
        <v>2430</v>
      </c>
      <c r="F234" s="188">
        <v>721</v>
      </c>
      <c r="G234" s="188">
        <v>1744</v>
      </c>
      <c r="H234" s="188">
        <v>619</v>
      </c>
      <c r="I234" s="143"/>
    </row>
    <row r="235" spans="1:9" ht="14.25" customHeight="1">
      <c r="A235" s="157" t="s">
        <v>675</v>
      </c>
      <c r="B235" s="186">
        <v>30</v>
      </c>
      <c r="C235" s="188">
        <v>58</v>
      </c>
      <c r="D235" s="188">
        <v>3723</v>
      </c>
      <c r="E235" s="188">
        <v>3952</v>
      </c>
      <c r="F235" s="188">
        <v>817</v>
      </c>
      <c r="G235" s="188">
        <v>2475</v>
      </c>
      <c r="H235" s="188">
        <v>631</v>
      </c>
      <c r="I235" s="143"/>
    </row>
    <row r="236" spans="1:9" ht="14.25" customHeight="1">
      <c r="A236" s="157" t="s">
        <v>676</v>
      </c>
      <c r="B236" s="186">
        <v>87</v>
      </c>
      <c r="C236" s="188">
        <v>129</v>
      </c>
      <c r="D236" s="188">
        <v>8948</v>
      </c>
      <c r="E236" s="188">
        <v>8960</v>
      </c>
      <c r="F236" s="188">
        <v>2444</v>
      </c>
      <c r="G236" s="188">
        <v>6128</v>
      </c>
      <c r="H236" s="188">
        <v>1803</v>
      </c>
      <c r="I236" s="143"/>
    </row>
    <row r="237" spans="1:9" ht="14.25" customHeight="1">
      <c r="A237" s="157" t="s">
        <v>677</v>
      </c>
      <c r="B237" s="186">
        <v>32</v>
      </c>
      <c r="C237" s="188">
        <v>48</v>
      </c>
      <c r="D237" s="188">
        <v>4274</v>
      </c>
      <c r="E237" s="188">
        <v>4227</v>
      </c>
      <c r="F237" s="188">
        <v>957</v>
      </c>
      <c r="G237" s="188">
        <v>2278</v>
      </c>
      <c r="H237" s="188">
        <v>507</v>
      </c>
      <c r="I237" s="143"/>
    </row>
    <row r="238" spans="1:9" ht="14.25" customHeight="1">
      <c r="A238" s="157" t="s">
        <v>678</v>
      </c>
      <c r="B238" s="186">
        <v>28</v>
      </c>
      <c r="C238" s="188">
        <v>38</v>
      </c>
      <c r="D238" s="188">
        <v>2155</v>
      </c>
      <c r="E238" s="188">
        <v>2324</v>
      </c>
      <c r="F238" s="188">
        <v>596</v>
      </c>
      <c r="G238" s="188">
        <v>2029</v>
      </c>
      <c r="H238" s="188">
        <v>564</v>
      </c>
      <c r="I238" s="143"/>
    </row>
    <row r="239" spans="1:9" ht="14.25" customHeight="1">
      <c r="A239" s="157" t="s">
        <v>679</v>
      </c>
      <c r="B239" s="186">
        <v>27</v>
      </c>
      <c r="C239" s="188">
        <v>43</v>
      </c>
      <c r="D239" s="188">
        <v>2519</v>
      </c>
      <c r="E239" s="188">
        <v>2409</v>
      </c>
      <c r="F239" s="188">
        <v>891</v>
      </c>
      <c r="G239" s="188">
        <v>1821</v>
      </c>
      <c r="H239" s="188">
        <v>732</v>
      </c>
      <c r="I239" s="143"/>
    </row>
    <row r="240" spans="1:9" ht="14.25" customHeight="1">
      <c r="A240" s="255" t="s">
        <v>680</v>
      </c>
      <c r="B240" s="186">
        <v>531</v>
      </c>
      <c r="C240" s="188">
        <v>736</v>
      </c>
      <c r="D240" s="188">
        <v>31536</v>
      </c>
      <c r="E240" s="188">
        <v>36766</v>
      </c>
      <c r="F240" s="188">
        <v>8750</v>
      </c>
      <c r="G240" s="188">
        <v>23673</v>
      </c>
      <c r="H240" s="188">
        <v>6536</v>
      </c>
      <c r="I240" s="143"/>
    </row>
    <row r="241" spans="1:9" ht="14.25" customHeight="1">
      <c r="A241" s="157" t="s">
        <v>681</v>
      </c>
      <c r="B241" s="186">
        <v>531</v>
      </c>
      <c r="C241" s="188">
        <v>736</v>
      </c>
      <c r="D241" s="188">
        <v>31536</v>
      </c>
      <c r="E241" s="188">
        <v>36766</v>
      </c>
      <c r="F241" s="188">
        <v>8750</v>
      </c>
      <c r="G241" s="188">
        <v>23673</v>
      </c>
      <c r="H241" s="188">
        <v>6536</v>
      </c>
      <c r="I241" s="143"/>
    </row>
    <row r="242" spans="1:9" ht="14.25" customHeight="1">
      <c r="A242" s="157" t="s">
        <v>682</v>
      </c>
      <c r="B242" s="186">
        <v>199</v>
      </c>
      <c r="C242" s="188">
        <v>250</v>
      </c>
      <c r="D242" s="188">
        <v>9759</v>
      </c>
      <c r="E242" s="188">
        <v>11592</v>
      </c>
      <c r="F242" s="188">
        <v>2228</v>
      </c>
      <c r="G242" s="188">
        <v>7526</v>
      </c>
      <c r="H242" s="188">
        <v>1853</v>
      </c>
      <c r="I242" s="143"/>
    </row>
    <row r="243" spans="1:9" ht="14.25" customHeight="1">
      <c r="A243" s="157" t="s">
        <v>618</v>
      </c>
      <c r="B243" s="186">
        <v>41</v>
      </c>
      <c r="C243" s="188">
        <v>45</v>
      </c>
      <c r="D243" s="188">
        <v>1566</v>
      </c>
      <c r="E243" s="188">
        <v>2367</v>
      </c>
      <c r="F243" s="188">
        <v>329</v>
      </c>
      <c r="G243" s="188">
        <v>1483</v>
      </c>
      <c r="H243" s="188">
        <v>302</v>
      </c>
      <c r="I243" s="143"/>
    </row>
    <row r="244" spans="1:9" ht="14.25" customHeight="1">
      <c r="A244" s="157" t="s">
        <v>683</v>
      </c>
      <c r="B244" s="186">
        <v>27</v>
      </c>
      <c r="C244" s="188">
        <v>31</v>
      </c>
      <c r="D244" s="188">
        <v>1111</v>
      </c>
      <c r="E244" s="188">
        <v>1389</v>
      </c>
      <c r="F244" s="188">
        <v>277</v>
      </c>
      <c r="G244" s="188">
        <v>796</v>
      </c>
      <c r="H244" s="188">
        <v>206</v>
      </c>
      <c r="I244" s="143"/>
    </row>
    <row r="245" spans="1:9" ht="14.25" customHeight="1">
      <c r="A245" s="157" t="s">
        <v>684</v>
      </c>
      <c r="B245" s="186">
        <v>20</v>
      </c>
      <c r="C245" s="188">
        <v>27</v>
      </c>
      <c r="D245" s="188">
        <v>1140</v>
      </c>
      <c r="E245" s="188">
        <v>1165</v>
      </c>
      <c r="F245" s="188">
        <v>231</v>
      </c>
      <c r="G245" s="188">
        <v>809</v>
      </c>
      <c r="H245" s="188">
        <v>195</v>
      </c>
      <c r="I245" s="143"/>
    </row>
    <row r="246" spans="1:9" ht="14.25" customHeight="1">
      <c r="A246" s="157" t="s">
        <v>685</v>
      </c>
      <c r="B246" s="186">
        <v>78</v>
      </c>
      <c r="C246" s="188">
        <v>107</v>
      </c>
      <c r="D246" s="188">
        <v>4229</v>
      </c>
      <c r="E246" s="188">
        <v>4752</v>
      </c>
      <c r="F246" s="188">
        <v>1165</v>
      </c>
      <c r="G246" s="188">
        <v>3185</v>
      </c>
      <c r="H246" s="188">
        <v>951</v>
      </c>
      <c r="I246" s="143"/>
    </row>
    <row r="247" spans="1:9" ht="14.25" customHeight="1">
      <c r="A247" s="157" t="s">
        <v>686</v>
      </c>
      <c r="B247" s="186">
        <v>33</v>
      </c>
      <c r="C247" s="188">
        <v>40</v>
      </c>
      <c r="D247" s="188">
        <v>1713</v>
      </c>
      <c r="E247" s="188">
        <v>1919</v>
      </c>
      <c r="F247" s="188">
        <v>226</v>
      </c>
      <c r="G247" s="188">
        <v>1253</v>
      </c>
      <c r="H247" s="188">
        <v>199</v>
      </c>
      <c r="I247" s="143"/>
    </row>
    <row r="248" spans="1:9" ht="14.25" customHeight="1">
      <c r="A248" s="157" t="s">
        <v>687</v>
      </c>
      <c r="B248" s="186">
        <v>332</v>
      </c>
      <c r="C248" s="188">
        <v>486</v>
      </c>
      <c r="D248" s="188">
        <v>21777</v>
      </c>
      <c r="E248" s="188">
        <v>25174</v>
      </c>
      <c r="F248" s="188">
        <v>6522</v>
      </c>
      <c r="G248" s="188">
        <v>16147</v>
      </c>
      <c r="H248" s="188">
        <v>4683</v>
      </c>
      <c r="I248" s="143"/>
    </row>
    <row r="249" spans="1:9" ht="14.25" customHeight="1">
      <c r="A249" s="157" t="s">
        <v>688</v>
      </c>
      <c r="B249" s="186">
        <v>40</v>
      </c>
      <c r="C249" s="188">
        <v>62</v>
      </c>
      <c r="D249" s="188">
        <v>2204</v>
      </c>
      <c r="E249" s="188">
        <v>2301</v>
      </c>
      <c r="F249" s="188">
        <v>437</v>
      </c>
      <c r="G249" s="188">
        <v>1516</v>
      </c>
      <c r="H249" s="188">
        <v>328</v>
      </c>
      <c r="I249" s="143"/>
    </row>
    <row r="250" spans="1:9" ht="14.25" customHeight="1">
      <c r="A250" s="157" t="s">
        <v>689</v>
      </c>
      <c r="B250" s="186">
        <v>36</v>
      </c>
      <c r="C250" s="188">
        <v>43</v>
      </c>
      <c r="D250" s="188">
        <v>1351</v>
      </c>
      <c r="E250" s="188">
        <v>1710</v>
      </c>
      <c r="F250" s="188">
        <v>395</v>
      </c>
      <c r="G250" s="188">
        <v>1108</v>
      </c>
      <c r="H250" s="188">
        <v>307</v>
      </c>
      <c r="I250" s="143"/>
    </row>
    <row r="251" spans="1:9" ht="14.25" customHeight="1">
      <c r="A251" s="157" t="s">
        <v>690</v>
      </c>
      <c r="B251" s="186">
        <v>40</v>
      </c>
      <c r="C251" s="188">
        <v>57</v>
      </c>
      <c r="D251" s="188">
        <v>2467</v>
      </c>
      <c r="E251" s="188">
        <v>2859</v>
      </c>
      <c r="F251" s="188">
        <v>544</v>
      </c>
      <c r="G251" s="188">
        <v>1396</v>
      </c>
      <c r="H251" s="188">
        <v>384</v>
      </c>
      <c r="I251" s="143"/>
    </row>
    <row r="252" spans="1:9" ht="14.25" customHeight="1">
      <c r="A252" s="157" t="s">
        <v>691</v>
      </c>
      <c r="B252" s="186">
        <v>33</v>
      </c>
      <c r="C252" s="188">
        <v>51</v>
      </c>
      <c r="D252" s="188">
        <v>1841</v>
      </c>
      <c r="E252" s="188">
        <v>2423</v>
      </c>
      <c r="F252" s="188">
        <v>729</v>
      </c>
      <c r="G252" s="188">
        <v>1822</v>
      </c>
      <c r="H252" s="188">
        <v>722</v>
      </c>
      <c r="I252" s="143"/>
    </row>
    <row r="253" spans="1:9" ht="14.25" customHeight="1">
      <c r="A253" s="157" t="s">
        <v>545</v>
      </c>
      <c r="B253" s="186">
        <v>80</v>
      </c>
      <c r="C253" s="188">
        <v>104</v>
      </c>
      <c r="D253" s="188">
        <v>4712</v>
      </c>
      <c r="E253" s="188">
        <v>5164</v>
      </c>
      <c r="F253" s="188">
        <v>1061</v>
      </c>
      <c r="G253" s="188">
        <v>2904</v>
      </c>
      <c r="H253" s="188">
        <v>753</v>
      </c>
      <c r="I253" s="143"/>
    </row>
    <row r="254" spans="1:9" ht="14.25" customHeight="1">
      <c r="A254" s="157" t="s">
        <v>692</v>
      </c>
      <c r="B254" s="186">
        <v>38</v>
      </c>
      <c r="C254" s="188">
        <v>41</v>
      </c>
      <c r="D254" s="188">
        <v>1899</v>
      </c>
      <c r="E254" s="188">
        <v>2453</v>
      </c>
      <c r="F254" s="188">
        <v>444</v>
      </c>
      <c r="G254" s="188">
        <v>1706</v>
      </c>
      <c r="H254" s="188">
        <v>398</v>
      </c>
      <c r="I254" s="143"/>
    </row>
    <row r="255" spans="1:9" ht="14.25" customHeight="1">
      <c r="A255" s="157" t="s">
        <v>693</v>
      </c>
      <c r="B255" s="186">
        <v>65</v>
      </c>
      <c r="C255" s="188">
        <v>128</v>
      </c>
      <c r="D255" s="188">
        <v>7303</v>
      </c>
      <c r="E255" s="188">
        <v>8264</v>
      </c>
      <c r="F255" s="188">
        <v>2912</v>
      </c>
      <c r="G255" s="188">
        <v>5695</v>
      </c>
      <c r="H255" s="188">
        <v>1791</v>
      </c>
      <c r="I255" s="143"/>
    </row>
    <row r="256" spans="1:9" ht="14.25" customHeight="1">
      <c r="A256" s="255" t="s">
        <v>694</v>
      </c>
      <c r="B256" s="186">
        <v>1342</v>
      </c>
      <c r="C256" s="188">
        <v>1983</v>
      </c>
      <c r="D256" s="188">
        <v>74215</v>
      </c>
      <c r="E256" s="188">
        <v>86705</v>
      </c>
      <c r="F256" s="188">
        <v>21733</v>
      </c>
      <c r="G256" s="188">
        <v>63398</v>
      </c>
      <c r="H256" s="188">
        <v>18647</v>
      </c>
      <c r="I256" s="143"/>
    </row>
    <row r="257" spans="1:9" ht="14.25" customHeight="1">
      <c r="A257" s="157" t="s">
        <v>695</v>
      </c>
      <c r="B257" s="186">
        <v>1342</v>
      </c>
      <c r="C257" s="188">
        <v>1983</v>
      </c>
      <c r="D257" s="188">
        <v>74215</v>
      </c>
      <c r="E257" s="188">
        <v>86705</v>
      </c>
      <c r="F257" s="188">
        <v>21733</v>
      </c>
      <c r="G257" s="188">
        <v>63398</v>
      </c>
      <c r="H257" s="188">
        <v>18647</v>
      </c>
      <c r="I257" s="143"/>
    </row>
    <row r="258" spans="1:9" ht="14.25" customHeight="1">
      <c r="A258" s="157" t="s">
        <v>696</v>
      </c>
      <c r="B258" s="186">
        <v>301</v>
      </c>
      <c r="C258" s="188">
        <v>480</v>
      </c>
      <c r="D258" s="188">
        <v>17518</v>
      </c>
      <c r="E258" s="188">
        <v>18469</v>
      </c>
      <c r="F258" s="188">
        <v>4846</v>
      </c>
      <c r="G258" s="188">
        <v>13527</v>
      </c>
      <c r="H258" s="188">
        <v>4206</v>
      </c>
      <c r="I258" s="143"/>
    </row>
    <row r="259" spans="1:9" ht="14.25" customHeight="1">
      <c r="A259" s="157" t="s">
        <v>697</v>
      </c>
      <c r="B259" s="186">
        <v>15</v>
      </c>
      <c r="C259" s="188">
        <v>24</v>
      </c>
      <c r="D259" s="188">
        <v>992</v>
      </c>
      <c r="E259" s="188">
        <v>960</v>
      </c>
      <c r="F259" s="188">
        <v>485</v>
      </c>
      <c r="G259" s="188">
        <v>809</v>
      </c>
      <c r="H259" s="188">
        <v>454</v>
      </c>
      <c r="I259" s="143"/>
    </row>
    <row r="260" spans="1:9" ht="14.25" customHeight="1">
      <c r="A260" s="157" t="s">
        <v>698</v>
      </c>
      <c r="B260" s="186">
        <v>47</v>
      </c>
      <c r="C260" s="188">
        <v>83</v>
      </c>
      <c r="D260" s="188">
        <v>2407</v>
      </c>
      <c r="E260" s="188">
        <v>2399</v>
      </c>
      <c r="F260" s="188">
        <v>444</v>
      </c>
      <c r="G260" s="188">
        <v>1684</v>
      </c>
      <c r="H260" s="188">
        <v>397</v>
      </c>
      <c r="I260" s="143"/>
    </row>
    <row r="261" spans="1:9" ht="14.25" customHeight="1">
      <c r="A261" s="157" t="s">
        <v>699</v>
      </c>
      <c r="B261" s="186">
        <v>52</v>
      </c>
      <c r="C261" s="188">
        <v>70</v>
      </c>
      <c r="D261" s="188">
        <v>3389</v>
      </c>
      <c r="E261" s="188">
        <v>3257</v>
      </c>
      <c r="F261" s="188">
        <v>680</v>
      </c>
      <c r="G261" s="188">
        <v>2314</v>
      </c>
      <c r="H261" s="188">
        <v>640</v>
      </c>
      <c r="I261" s="143"/>
    </row>
    <row r="262" spans="1:9" ht="14.25" customHeight="1">
      <c r="A262" s="157" t="s">
        <v>558</v>
      </c>
      <c r="B262" s="186">
        <v>83</v>
      </c>
      <c r="C262" s="188">
        <v>127</v>
      </c>
      <c r="D262" s="188">
        <v>3996</v>
      </c>
      <c r="E262" s="188">
        <v>4233</v>
      </c>
      <c r="F262" s="188">
        <v>769</v>
      </c>
      <c r="G262" s="188">
        <v>3082</v>
      </c>
      <c r="H262" s="188">
        <v>703</v>
      </c>
      <c r="I262" s="143"/>
    </row>
    <row r="263" spans="1:9" ht="14.25" customHeight="1">
      <c r="A263" s="157" t="s">
        <v>700</v>
      </c>
      <c r="B263" s="186">
        <v>56</v>
      </c>
      <c r="C263" s="188">
        <v>92</v>
      </c>
      <c r="D263" s="188">
        <v>2868</v>
      </c>
      <c r="E263" s="188">
        <v>3411</v>
      </c>
      <c r="F263" s="188">
        <v>1105</v>
      </c>
      <c r="G263" s="188">
        <v>2630</v>
      </c>
      <c r="H263" s="188">
        <v>976</v>
      </c>
      <c r="I263" s="143"/>
    </row>
    <row r="264" spans="1:9" ht="14.25" customHeight="1">
      <c r="A264" s="157" t="s">
        <v>701</v>
      </c>
      <c r="B264" s="186">
        <v>19</v>
      </c>
      <c r="C264" s="188">
        <v>32</v>
      </c>
      <c r="D264" s="188">
        <v>1312</v>
      </c>
      <c r="E264" s="188">
        <v>1371</v>
      </c>
      <c r="F264" s="188">
        <v>470</v>
      </c>
      <c r="G264" s="188">
        <v>869</v>
      </c>
      <c r="H264" s="188">
        <v>304</v>
      </c>
      <c r="I264" s="143"/>
    </row>
    <row r="265" spans="1:9" ht="14.25" customHeight="1">
      <c r="A265" s="157" t="s">
        <v>702</v>
      </c>
      <c r="B265" s="186">
        <v>29</v>
      </c>
      <c r="C265" s="188">
        <v>52</v>
      </c>
      <c r="D265" s="188">
        <v>2554</v>
      </c>
      <c r="E265" s="188">
        <v>2838</v>
      </c>
      <c r="F265" s="188">
        <v>893</v>
      </c>
      <c r="G265" s="188">
        <v>2139</v>
      </c>
      <c r="H265" s="188">
        <v>732</v>
      </c>
      <c r="I265" s="143"/>
    </row>
    <row r="266" spans="1:9" ht="14.25" customHeight="1">
      <c r="A266" s="157" t="s">
        <v>703</v>
      </c>
      <c r="B266" s="186">
        <v>313</v>
      </c>
      <c r="C266" s="188">
        <v>460</v>
      </c>
      <c r="D266" s="188">
        <v>13568</v>
      </c>
      <c r="E266" s="188">
        <v>16643</v>
      </c>
      <c r="F266" s="188">
        <v>3678</v>
      </c>
      <c r="G266" s="188">
        <v>11235</v>
      </c>
      <c r="H266" s="188">
        <v>2966</v>
      </c>
      <c r="I266" s="143"/>
    </row>
    <row r="267" spans="1:9" ht="14.25" customHeight="1">
      <c r="A267" s="157" t="s">
        <v>704</v>
      </c>
      <c r="B267" s="186">
        <v>107</v>
      </c>
      <c r="C267" s="188">
        <v>163</v>
      </c>
      <c r="D267" s="188">
        <v>4539</v>
      </c>
      <c r="E267" s="188">
        <v>6002</v>
      </c>
      <c r="F267" s="188">
        <v>1266</v>
      </c>
      <c r="G267" s="188">
        <v>4054</v>
      </c>
      <c r="H267" s="188">
        <v>992</v>
      </c>
      <c r="I267" s="143"/>
    </row>
    <row r="268" spans="1:9" ht="14.25" customHeight="1">
      <c r="A268" s="157" t="s">
        <v>705</v>
      </c>
      <c r="B268" s="186">
        <v>46</v>
      </c>
      <c r="C268" s="188">
        <v>57</v>
      </c>
      <c r="D268" s="188">
        <v>1784</v>
      </c>
      <c r="E268" s="188">
        <v>2295</v>
      </c>
      <c r="F268" s="188">
        <v>407</v>
      </c>
      <c r="G268" s="188">
        <v>1436</v>
      </c>
      <c r="H268" s="188">
        <v>367</v>
      </c>
      <c r="I268" s="143"/>
    </row>
    <row r="269" spans="1:9" ht="14.25" customHeight="1">
      <c r="A269" s="157" t="s">
        <v>706</v>
      </c>
      <c r="B269" s="186">
        <v>50</v>
      </c>
      <c r="C269" s="188">
        <v>69</v>
      </c>
      <c r="D269" s="188">
        <v>1835</v>
      </c>
      <c r="E269" s="188">
        <v>2120</v>
      </c>
      <c r="F269" s="188">
        <v>330</v>
      </c>
      <c r="G269" s="188">
        <v>1209</v>
      </c>
      <c r="H269" s="188">
        <v>258</v>
      </c>
      <c r="I269" s="143"/>
    </row>
    <row r="270" spans="1:9" ht="14.25" customHeight="1">
      <c r="A270" s="157" t="s">
        <v>707</v>
      </c>
      <c r="B270" s="186">
        <v>65</v>
      </c>
      <c r="C270" s="188">
        <v>95</v>
      </c>
      <c r="D270" s="188">
        <v>2798</v>
      </c>
      <c r="E270" s="188">
        <v>3257</v>
      </c>
      <c r="F270" s="188">
        <v>661</v>
      </c>
      <c r="G270" s="188">
        <v>2308</v>
      </c>
      <c r="H270" s="188">
        <v>594</v>
      </c>
      <c r="I270" s="143"/>
    </row>
    <row r="271" spans="1:9" ht="14.25" customHeight="1">
      <c r="A271" s="157" t="s">
        <v>708</v>
      </c>
      <c r="B271" s="186">
        <v>45</v>
      </c>
      <c r="C271" s="188">
        <v>76</v>
      </c>
      <c r="D271" s="188">
        <v>2612</v>
      </c>
      <c r="E271" s="188">
        <v>2969</v>
      </c>
      <c r="F271" s="188">
        <v>1014</v>
      </c>
      <c r="G271" s="188">
        <v>2228</v>
      </c>
      <c r="H271" s="188">
        <v>755</v>
      </c>
      <c r="I271" s="143"/>
    </row>
    <row r="272" spans="1:9" ht="14.25" customHeight="1">
      <c r="A272" s="157" t="s">
        <v>709</v>
      </c>
      <c r="B272" s="186">
        <v>364</v>
      </c>
      <c r="C272" s="188">
        <v>531</v>
      </c>
      <c r="D272" s="188">
        <v>24118</v>
      </c>
      <c r="E272" s="188">
        <v>28099</v>
      </c>
      <c r="F272" s="188">
        <v>7647</v>
      </c>
      <c r="G272" s="188">
        <v>21287</v>
      </c>
      <c r="H272" s="188">
        <v>6491</v>
      </c>
      <c r="I272" s="143"/>
    </row>
    <row r="273" spans="1:9" ht="14.25" customHeight="1">
      <c r="A273" s="157" t="s">
        <v>710</v>
      </c>
      <c r="B273" s="186">
        <v>30</v>
      </c>
      <c r="C273" s="188">
        <v>46</v>
      </c>
      <c r="D273" s="188">
        <v>1715</v>
      </c>
      <c r="E273" s="188">
        <v>1975</v>
      </c>
      <c r="F273" s="188">
        <v>499</v>
      </c>
      <c r="G273" s="188">
        <v>1317</v>
      </c>
      <c r="H273" s="188">
        <v>424</v>
      </c>
      <c r="I273" s="143"/>
    </row>
    <row r="274" spans="1:9" ht="14.25" customHeight="1">
      <c r="A274" s="157" t="s">
        <v>711</v>
      </c>
      <c r="B274" s="186">
        <v>39</v>
      </c>
      <c r="C274" s="188">
        <v>48</v>
      </c>
      <c r="D274" s="188">
        <v>1532</v>
      </c>
      <c r="E274" s="188">
        <v>2794</v>
      </c>
      <c r="F274" s="188">
        <v>530</v>
      </c>
      <c r="G274" s="188">
        <v>2168</v>
      </c>
      <c r="H274" s="188">
        <v>451</v>
      </c>
      <c r="I274" s="143"/>
    </row>
    <row r="275" spans="1:9" ht="14.25" customHeight="1">
      <c r="A275" s="157" t="s">
        <v>712</v>
      </c>
      <c r="B275" s="186">
        <v>45</v>
      </c>
      <c r="C275" s="188">
        <v>62</v>
      </c>
      <c r="D275" s="188">
        <v>2442</v>
      </c>
      <c r="E275" s="188">
        <v>2598</v>
      </c>
      <c r="F275" s="188">
        <v>633</v>
      </c>
      <c r="G275" s="188">
        <v>2002</v>
      </c>
      <c r="H275" s="188">
        <v>568</v>
      </c>
      <c r="I275" s="143"/>
    </row>
    <row r="276" spans="1:9" ht="14.25" customHeight="1">
      <c r="A276" s="157" t="s">
        <v>713</v>
      </c>
      <c r="B276" s="186">
        <v>100</v>
      </c>
      <c r="C276" s="188">
        <v>133</v>
      </c>
      <c r="D276" s="188">
        <v>4912</v>
      </c>
      <c r="E276" s="188">
        <v>5674</v>
      </c>
      <c r="F276" s="188">
        <v>961</v>
      </c>
      <c r="G276" s="188">
        <v>3821</v>
      </c>
      <c r="H276" s="188">
        <v>846</v>
      </c>
      <c r="I276" s="143"/>
    </row>
    <row r="277" spans="1:9" ht="14.25" customHeight="1">
      <c r="A277" s="157" t="s">
        <v>714</v>
      </c>
      <c r="B277" s="186">
        <v>24</v>
      </c>
      <c r="C277" s="188">
        <v>34</v>
      </c>
      <c r="D277" s="188">
        <v>1396</v>
      </c>
      <c r="E277" s="188">
        <v>1411</v>
      </c>
      <c r="F277" s="188">
        <v>179</v>
      </c>
      <c r="G277" s="188">
        <v>937</v>
      </c>
      <c r="H277" s="188">
        <v>142</v>
      </c>
      <c r="I277" s="143"/>
    </row>
    <row r="278" spans="1:9" ht="14.25" customHeight="1">
      <c r="A278" s="157" t="s">
        <v>715</v>
      </c>
      <c r="B278" s="186">
        <v>126</v>
      </c>
      <c r="C278" s="188">
        <v>208</v>
      </c>
      <c r="D278" s="188">
        <v>12121</v>
      </c>
      <c r="E278" s="188">
        <v>13647</v>
      </c>
      <c r="F278" s="188">
        <v>4845</v>
      </c>
      <c r="G278" s="188">
        <v>11042</v>
      </c>
      <c r="H278" s="188">
        <v>4060</v>
      </c>
      <c r="I278" s="143"/>
    </row>
    <row r="279" spans="1:9" ht="14.25" customHeight="1">
      <c r="A279" s="157" t="s">
        <v>716</v>
      </c>
      <c r="B279" s="186">
        <v>364</v>
      </c>
      <c r="C279" s="188">
        <v>512</v>
      </c>
      <c r="D279" s="188">
        <v>19011</v>
      </c>
      <c r="E279" s="188">
        <v>23494</v>
      </c>
      <c r="F279" s="188">
        <v>5562</v>
      </c>
      <c r="G279" s="188">
        <v>17349</v>
      </c>
      <c r="H279" s="188">
        <v>4984</v>
      </c>
      <c r="I279" s="143"/>
    </row>
    <row r="280" spans="1:9" ht="14.25" customHeight="1">
      <c r="A280" s="157" t="s">
        <v>717</v>
      </c>
      <c r="B280" s="186">
        <v>73</v>
      </c>
      <c r="C280" s="188">
        <v>100</v>
      </c>
      <c r="D280" s="188">
        <v>4153</v>
      </c>
      <c r="E280" s="188">
        <v>5280</v>
      </c>
      <c r="F280" s="188">
        <v>1479</v>
      </c>
      <c r="G280" s="188">
        <v>4264</v>
      </c>
      <c r="H280" s="188">
        <v>1343</v>
      </c>
      <c r="I280" s="143"/>
    </row>
    <row r="281" spans="1:9" ht="14.25" customHeight="1">
      <c r="A281" s="157" t="s">
        <v>718</v>
      </c>
      <c r="B281" s="186">
        <v>45</v>
      </c>
      <c r="C281" s="188">
        <v>65</v>
      </c>
      <c r="D281" s="188">
        <v>2412</v>
      </c>
      <c r="E281" s="188">
        <v>3012</v>
      </c>
      <c r="F281" s="188">
        <v>764</v>
      </c>
      <c r="G281" s="188">
        <v>2328</v>
      </c>
      <c r="H281" s="188">
        <v>708</v>
      </c>
      <c r="I281" s="143"/>
    </row>
    <row r="282" spans="1:9" ht="14.25" customHeight="1">
      <c r="A282" s="157" t="s">
        <v>719</v>
      </c>
      <c r="B282" s="186">
        <v>86</v>
      </c>
      <c r="C282" s="188">
        <v>116</v>
      </c>
      <c r="D282" s="188">
        <v>4571</v>
      </c>
      <c r="E282" s="188">
        <v>5368</v>
      </c>
      <c r="F282" s="188">
        <v>1229</v>
      </c>
      <c r="G282" s="188">
        <v>3835</v>
      </c>
      <c r="H282" s="188">
        <v>1141</v>
      </c>
      <c r="I282" s="143"/>
    </row>
    <row r="283" spans="1:9" ht="14.25" customHeight="1">
      <c r="A283" s="157" t="s">
        <v>720</v>
      </c>
      <c r="B283" s="186">
        <v>34</v>
      </c>
      <c r="C283" s="188">
        <v>55</v>
      </c>
      <c r="D283" s="188">
        <v>1434</v>
      </c>
      <c r="E283" s="188">
        <v>1880</v>
      </c>
      <c r="F283" s="188">
        <v>315</v>
      </c>
      <c r="G283" s="188">
        <v>1234</v>
      </c>
      <c r="H283" s="188">
        <v>269</v>
      </c>
      <c r="I283" s="143"/>
    </row>
    <row r="284" spans="1:9" ht="14.25" customHeight="1">
      <c r="A284" s="157" t="s">
        <v>721</v>
      </c>
      <c r="B284" s="186">
        <v>58</v>
      </c>
      <c r="C284" s="188">
        <v>70</v>
      </c>
      <c r="D284" s="188">
        <v>3683</v>
      </c>
      <c r="E284" s="188">
        <v>4339</v>
      </c>
      <c r="F284" s="188">
        <v>995</v>
      </c>
      <c r="G284" s="188">
        <v>3266</v>
      </c>
      <c r="H284" s="188">
        <v>865</v>
      </c>
      <c r="I284" s="143"/>
    </row>
    <row r="285" spans="1:9" ht="14.25" customHeight="1">
      <c r="A285" s="157" t="s">
        <v>722</v>
      </c>
      <c r="B285" s="186">
        <v>37</v>
      </c>
      <c r="C285" s="188">
        <v>52</v>
      </c>
      <c r="D285" s="188">
        <v>1202</v>
      </c>
      <c r="E285" s="188">
        <v>1693</v>
      </c>
      <c r="F285" s="188">
        <v>314</v>
      </c>
      <c r="G285" s="188">
        <v>1042</v>
      </c>
      <c r="H285" s="188">
        <v>270</v>
      </c>
      <c r="I285" s="143"/>
    </row>
    <row r="286" spans="1:9" ht="14.25" customHeight="1">
      <c r="A286" s="157" t="s">
        <v>723</v>
      </c>
      <c r="B286" s="186">
        <v>31</v>
      </c>
      <c r="C286" s="188">
        <v>54</v>
      </c>
      <c r="D286" s="188">
        <v>1556</v>
      </c>
      <c r="E286" s="188">
        <v>1922</v>
      </c>
      <c r="F286" s="188">
        <v>466</v>
      </c>
      <c r="G286" s="188">
        <v>1380</v>
      </c>
      <c r="H286" s="188">
        <v>388</v>
      </c>
      <c r="I286" s="143"/>
    </row>
    <row r="287" spans="1:9" ht="14.25" customHeight="1">
      <c r="A287" s="255" t="s">
        <v>724</v>
      </c>
      <c r="B287" s="186">
        <v>425</v>
      </c>
      <c r="C287" s="188">
        <v>669</v>
      </c>
      <c r="D287" s="188">
        <v>39229</v>
      </c>
      <c r="E287" s="188">
        <v>38170</v>
      </c>
      <c r="F287" s="188">
        <v>10313</v>
      </c>
      <c r="G287" s="188">
        <v>25320</v>
      </c>
      <c r="H287" s="188">
        <v>7934</v>
      </c>
      <c r="I287" s="143"/>
    </row>
    <row r="288" spans="1:9" ht="14.25" customHeight="1">
      <c r="A288" s="157" t="s">
        <v>725</v>
      </c>
      <c r="B288" s="186">
        <v>425</v>
      </c>
      <c r="C288" s="188">
        <v>669</v>
      </c>
      <c r="D288" s="188">
        <v>39229</v>
      </c>
      <c r="E288" s="188">
        <v>38170</v>
      </c>
      <c r="F288" s="188">
        <v>10313</v>
      </c>
      <c r="G288" s="188">
        <v>25320</v>
      </c>
      <c r="H288" s="188">
        <v>7934</v>
      </c>
      <c r="I288" s="143"/>
    </row>
    <row r="289" spans="1:9" ht="14.25" customHeight="1">
      <c r="A289" s="157" t="s">
        <v>726</v>
      </c>
      <c r="B289" s="186">
        <v>220</v>
      </c>
      <c r="C289" s="188">
        <v>344</v>
      </c>
      <c r="D289" s="188">
        <v>21463</v>
      </c>
      <c r="E289" s="188">
        <v>20278</v>
      </c>
      <c r="F289" s="188">
        <v>5970</v>
      </c>
      <c r="G289" s="188">
        <v>14445</v>
      </c>
      <c r="H289" s="188">
        <v>4536</v>
      </c>
      <c r="I289" s="143"/>
    </row>
    <row r="290" spans="1:9" ht="14.25" customHeight="1">
      <c r="A290" s="157" t="s">
        <v>727</v>
      </c>
      <c r="B290" s="186">
        <v>62</v>
      </c>
      <c r="C290" s="188">
        <v>88</v>
      </c>
      <c r="D290" s="188">
        <v>4828</v>
      </c>
      <c r="E290" s="188">
        <v>4513</v>
      </c>
      <c r="F290" s="188">
        <v>1010</v>
      </c>
      <c r="G290" s="188">
        <v>3238</v>
      </c>
      <c r="H290" s="188">
        <v>808</v>
      </c>
      <c r="I290" s="143"/>
    </row>
    <row r="291" spans="1:9" ht="14.25" customHeight="1">
      <c r="A291" s="157" t="s">
        <v>728</v>
      </c>
      <c r="B291" s="186">
        <v>31</v>
      </c>
      <c r="C291" s="188">
        <v>47</v>
      </c>
      <c r="D291" s="188">
        <v>1688</v>
      </c>
      <c r="E291" s="188">
        <v>1538</v>
      </c>
      <c r="F291" s="188">
        <v>442</v>
      </c>
      <c r="G291" s="188">
        <v>1121</v>
      </c>
      <c r="H291" s="188">
        <v>307</v>
      </c>
      <c r="I291" s="143"/>
    </row>
    <row r="292" spans="1:9" ht="14.25" customHeight="1">
      <c r="A292" s="157" t="s">
        <v>729</v>
      </c>
      <c r="B292" s="186">
        <v>127</v>
      </c>
      <c r="C292" s="188">
        <v>209</v>
      </c>
      <c r="D292" s="188">
        <v>14947</v>
      </c>
      <c r="E292" s="188">
        <v>14227</v>
      </c>
      <c r="F292" s="188">
        <v>4518</v>
      </c>
      <c r="G292" s="188">
        <v>10086</v>
      </c>
      <c r="H292" s="188">
        <v>3421</v>
      </c>
      <c r="I292" s="143"/>
    </row>
    <row r="293" spans="1:9" ht="14.25" customHeight="1">
      <c r="A293" s="157" t="s">
        <v>730</v>
      </c>
      <c r="B293" s="186">
        <v>111</v>
      </c>
      <c r="C293" s="188">
        <v>153</v>
      </c>
      <c r="D293" s="188">
        <v>10520</v>
      </c>
      <c r="E293" s="188">
        <v>10491</v>
      </c>
      <c r="F293" s="188">
        <v>2336</v>
      </c>
      <c r="G293" s="188">
        <v>5704</v>
      </c>
      <c r="H293" s="188">
        <v>1797</v>
      </c>
      <c r="I293" s="143"/>
    </row>
    <row r="294" spans="1:9" ht="14.25" customHeight="1">
      <c r="A294" s="157" t="s">
        <v>731</v>
      </c>
      <c r="B294" s="186">
        <v>13</v>
      </c>
      <c r="C294" s="188">
        <v>21</v>
      </c>
      <c r="D294" s="188">
        <v>1004</v>
      </c>
      <c r="E294" s="188">
        <v>1007</v>
      </c>
      <c r="F294" s="188">
        <v>159</v>
      </c>
      <c r="G294" s="188">
        <v>818</v>
      </c>
      <c r="H294" s="188">
        <v>146</v>
      </c>
      <c r="I294" s="143"/>
    </row>
    <row r="295" spans="1:9" ht="14.25" customHeight="1">
      <c r="A295" s="157" t="s">
        <v>732</v>
      </c>
      <c r="B295" s="186">
        <v>12</v>
      </c>
      <c r="C295" s="188">
        <v>14</v>
      </c>
      <c r="D295" s="188">
        <v>672</v>
      </c>
      <c r="E295" s="188">
        <v>615</v>
      </c>
      <c r="F295" s="188">
        <v>148</v>
      </c>
      <c r="G295" s="188">
        <v>500</v>
      </c>
      <c r="H295" s="188">
        <v>133</v>
      </c>
      <c r="I295" s="143"/>
    </row>
    <row r="296" spans="1:9" ht="14.25" customHeight="1">
      <c r="A296" s="157" t="s">
        <v>733</v>
      </c>
      <c r="B296" s="186">
        <v>10</v>
      </c>
      <c r="C296" s="188">
        <v>18</v>
      </c>
      <c r="D296" s="188">
        <v>539</v>
      </c>
      <c r="E296" s="188">
        <v>474</v>
      </c>
      <c r="F296" s="188">
        <v>156</v>
      </c>
      <c r="G296" s="188">
        <v>334</v>
      </c>
      <c r="H296" s="188">
        <v>109</v>
      </c>
      <c r="I296" s="143"/>
    </row>
    <row r="297" spans="1:9" ht="14.25" customHeight="1">
      <c r="A297" s="157" t="s">
        <v>734</v>
      </c>
      <c r="B297" s="186">
        <v>6</v>
      </c>
      <c r="C297" s="188">
        <v>11</v>
      </c>
      <c r="D297" s="188">
        <v>3432</v>
      </c>
      <c r="E297" s="188">
        <v>3416</v>
      </c>
      <c r="F297" s="188">
        <v>299</v>
      </c>
      <c r="G297" s="188">
        <v>108</v>
      </c>
      <c r="H297" s="188">
        <v>67</v>
      </c>
      <c r="I297" s="143"/>
    </row>
    <row r="298" spans="1:9" ht="14.25" customHeight="1">
      <c r="A298" s="157" t="s">
        <v>735</v>
      </c>
      <c r="B298" s="186">
        <v>15</v>
      </c>
      <c r="C298" s="188">
        <v>20</v>
      </c>
      <c r="D298" s="188">
        <v>976</v>
      </c>
      <c r="E298" s="188">
        <v>853</v>
      </c>
      <c r="F298" s="188">
        <v>253</v>
      </c>
      <c r="G298" s="188">
        <v>735</v>
      </c>
      <c r="H298" s="188">
        <v>245</v>
      </c>
      <c r="I298" s="143"/>
    </row>
    <row r="299" spans="1:9" ht="14.25" customHeight="1">
      <c r="A299" s="157" t="s">
        <v>736</v>
      </c>
      <c r="B299" s="186">
        <v>20</v>
      </c>
      <c r="C299" s="188">
        <v>27</v>
      </c>
      <c r="D299" s="188">
        <v>1283</v>
      </c>
      <c r="E299" s="188">
        <v>1209</v>
      </c>
      <c r="F299" s="188">
        <v>283</v>
      </c>
      <c r="G299" s="188">
        <v>949</v>
      </c>
      <c r="H299" s="188">
        <v>231</v>
      </c>
      <c r="I299" s="143"/>
    </row>
    <row r="300" spans="1:9" ht="14.25" customHeight="1">
      <c r="A300" s="157" t="s">
        <v>737</v>
      </c>
      <c r="B300" s="186">
        <v>7</v>
      </c>
      <c r="C300" s="188">
        <v>10</v>
      </c>
      <c r="D300" s="188">
        <v>704</v>
      </c>
      <c r="E300" s="188">
        <v>736</v>
      </c>
      <c r="F300" s="188">
        <v>245</v>
      </c>
      <c r="G300" s="188">
        <v>662</v>
      </c>
      <c r="H300" s="188">
        <v>241</v>
      </c>
      <c r="I300" s="143"/>
    </row>
    <row r="301" spans="1:9" ht="14.25" customHeight="1">
      <c r="A301" s="157" t="s">
        <v>738</v>
      </c>
      <c r="B301" s="186">
        <v>28</v>
      </c>
      <c r="C301" s="188">
        <v>32</v>
      </c>
      <c r="D301" s="188">
        <v>1910</v>
      </c>
      <c r="E301" s="188">
        <v>2181</v>
      </c>
      <c r="F301" s="188">
        <v>793</v>
      </c>
      <c r="G301" s="188">
        <v>1598</v>
      </c>
      <c r="H301" s="188">
        <v>625</v>
      </c>
      <c r="I301" s="143"/>
    </row>
    <row r="302" spans="1:9" ht="14.25" customHeight="1">
      <c r="A302" s="157" t="s">
        <v>739</v>
      </c>
      <c r="B302" s="186">
        <v>94</v>
      </c>
      <c r="C302" s="188">
        <v>172</v>
      </c>
      <c r="D302" s="188">
        <v>7246</v>
      </c>
      <c r="E302" s="188">
        <v>7401</v>
      </c>
      <c r="F302" s="188">
        <v>2007</v>
      </c>
      <c r="G302" s="188">
        <v>5171</v>
      </c>
      <c r="H302" s="188">
        <v>1601</v>
      </c>
      <c r="I302" s="143"/>
    </row>
    <row r="303" spans="1:9" ht="14.25" customHeight="1">
      <c r="A303" s="157" t="s">
        <v>740</v>
      </c>
      <c r="B303" s="186">
        <v>22</v>
      </c>
      <c r="C303" s="188">
        <v>38</v>
      </c>
      <c r="D303" s="188">
        <v>1358</v>
      </c>
      <c r="E303" s="188">
        <v>1299</v>
      </c>
      <c r="F303" s="188">
        <v>464</v>
      </c>
      <c r="G303" s="188">
        <v>840</v>
      </c>
      <c r="H303" s="188">
        <v>352</v>
      </c>
      <c r="I303" s="143"/>
    </row>
    <row r="304" spans="1:9" ht="14.25" customHeight="1">
      <c r="A304" s="157" t="s">
        <v>741</v>
      </c>
      <c r="B304" s="186">
        <v>14</v>
      </c>
      <c r="C304" s="188">
        <v>27</v>
      </c>
      <c r="D304" s="188">
        <v>852</v>
      </c>
      <c r="E304" s="188">
        <v>820</v>
      </c>
      <c r="F304" s="188">
        <v>222</v>
      </c>
      <c r="G304" s="188">
        <v>614</v>
      </c>
      <c r="H304" s="188">
        <v>166</v>
      </c>
      <c r="I304" s="143"/>
    </row>
    <row r="305" spans="1:9" ht="14.25" customHeight="1">
      <c r="A305" s="157" t="s">
        <v>742</v>
      </c>
      <c r="B305" s="186">
        <v>8</v>
      </c>
      <c r="C305" s="188">
        <v>15</v>
      </c>
      <c r="D305" s="188">
        <v>824</v>
      </c>
      <c r="E305" s="188">
        <v>1108</v>
      </c>
      <c r="F305" s="188">
        <v>153</v>
      </c>
      <c r="G305" s="188">
        <v>626</v>
      </c>
      <c r="H305" s="188">
        <v>133</v>
      </c>
      <c r="I305" s="143"/>
    </row>
    <row r="306" spans="1:9" ht="14.25" customHeight="1">
      <c r="A306" s="157" t="s">
        <v>743</v>
      </c>
      <c r="B306" s="186">
        <v>5</v>
      </c>
      <c r="C306" s="188">
        <v>9</v>
      </c>
      <c r="D306" s="188">
        <v>502</v>
      </c>
      <c r="E306" s="188">
        <v>494</v>
      </c>
      <c r="F306" s="188">
        <v>102</v>
      </c>
      <c r="G306" s="188">
        <v>387</v>
      </c>
      <c r="H306" s="188">
        <v>71</v>
      </c>
      <c r="I306" s="143"/>
    </row>
    <row r="307" spans="1:9" ht="14.25" customHeight="1">
      <c r="A307" s="157" t="s">
        <v>744</v>
      </c>
      <c r="B307" s="186">
        <v>8</v>
      </c>
      <c r="C307" s="188">
        <v>23</v>
      </c>
      <c r="D307" s="188">
        <v>642</v>
      </c>
      <c r="E307" s="188">
        <v>631</v>
      </c>
      <c r="F307" s="188">
        <v>218</v>
      </c>
      <c r="G307" s="188">
        <v>376</v>
      </c>
      <c r="H307" s="188">
        <v>141</v>
      </c>
      <c r="I307" s="143"/>
    </row>
    <row r="308" spans="1:9" ht="14.25" customHeight="1">
      <c r="A308" s="157" t="s">
        <v>745</v>
      </c>
      <c r="B308" s="186">
        <v>37</v>
      </c>
      <c r="C308" s="188">
        <v>60</v>
      </c>
      <c r="D308" s="188">
        <v>3068</v>
      </c>
      <c r="E308" s="188">
        <v>3049</v>
      </c>
      <c r="F308" s="188">
        <v>848</v>
      </c>
      <c r="G308" s="188">
        <v>2328</v>
      </c>
      <c r="H308" s="188">
        <v>738</v>
      </c>
      <c r="I308" s="143"/>
    </row>
    <row r="309" spans="1:9" ht="14.25" customHeight="1">
      <c r="A309" s="255" t="s">
        <v>746</v>
      </c>
      <c r="B309" s="186">
        <v>1069</v>
      </c>
      <c r="C309" s="188">
        <v>1592</v>
      </c>
      <c r="D309" s="188">
        <v>101831</v>
      </c>
      <c r="E309" s="188">
        <v>99820</v>
      </c>
      <c r="F309" s="188">
        <v>31168</v>
      </c>
      <c r="G309" s="188">
        <v>72019</v>
      </c>
      <c r="H309" s="188">
        <v>24243</v>
      </c>
      <c r="I309" s="143"/>
    </row>
    <row r="310" spans="1:9" ht="14.25" customHeight="1">
      <c r="A310" s="157" t="s">
        <v>747</v>
      </c>
      <c r="B310" s="186">
        <v>1069</v>
      </c>
      <c r="C310" s="188">
        <v>1592</v>
      </c>
      <c r="D310" s="188">
        <v>101831</v>
      </c>
      <c r="E310" s="188">
        <v>99820</v>
      </c>
      <c r="F310" s="188">
        <v>31168</v>
      </c>
      <c r="G310" s="188">
        <v>72019</v>
      </c>
      <c r="H310" s="188">
        <v>24243</v>
      </c>
      <c r="I310" s="143"/>
    </row>
    <row r="311" spans="1:9" ht="14.25" customHeight="1">
      <c r="A311" s="157" t="s">
        <v>748</v>
      </c>
      <c r="B311" s="186">
        <v>272</v>
      </c>
      <c r="C311" s="188">
        <v>382</v>
      </c>
      <c r="D311" s="188">
        <v>26668</v>
      </c>
      <c r="E311" s="188">
        <v>26707</v>
      </c>
      <c r="F311" s="188">
        <v>6448</v>
      </c>
      <c r="G311" s="188">
        <v>20823</v>
      </c>
      <c r="H311" s="188">
        <v>5348</v>
      </c>
      <c r="I311" s="143"/>
    </row>
    <row r="312" spans="1:9" ht="14.25" customHeight="1">
      <c r="A312" s="157" t="s">
        <v>749</v>
      </c>
      <c r="B312" s="186">
        <v>55</v>
      </c>
      <c r="C312" s="188">
        <v>81</v>
      </c>
      <c r="D312" s="188">
        <v>5473</v>
      </c>
      <c r="E312" s="188">
        <v>5315</v>
      </c>
      <c r="F312" s="188">
        <v>1453</v>
      </c>
      <c r="G312" s="188">
        <v>4371</v>
      </c>
      <c r="H312" s="188">
        <v>1302</v>
      </c>
      <c r="I312" s="143"/>
    </row>
    <row r="313" spans="1:9" ht="14.25" customHeight="1">
      <c r="A313" s="157" t="s">
        <v>750</v>
      </c>
      <c r="B313" s="186">
        <v>66</v>
      </c>
      <c r="C313" s="188">
        <v>89</v>
      </c>
      <c r="D313" s="188">
        <v>7410</v>
      </c>
      <c r="E313" s="188">
        <v>7787</v>
      </c>
      <c r="F313" s="188">
        <v>1648</v>
      </c>
      <c r="G313" s="188">
        <v>5604</v>
      </c>
      <c r="H313" s="188">
        <v>1371</v>
      </c>
      <c r="I313" s="143"/>
    </row>
    <row r="314" spans="1:9" ht="14.25" customHeight="1">
      <c r="A314" s="157" t="s">
        <v>637</v>
      </c>
      <c r="B314" s="186">
        <v>10</v>
      </c>
      <c r="C314" s="188">
        <v>26</v>
      </c>
      <c r="D314" s="188">
        <v>1296</v>
      </c>
      <c r="E314" s="188">
        <v>1196</v>
      </c>
      <c r="F314" s="188">
        <v>288</v>
      </c>
      <c r="G314" s="188">
        <v>1078</v>
      </c>
      <c r="H314" s="188">
        <v>284</v>
      </c>
      <c r="I314" s="143"/>
    </row>
    <row r="315" spans="1:9" ht="14.25" customHeight="1">
      <c r="A315" s="157" t="s">
        <v>751</v>
      </c>
      <c r="B315" s="186">
        <v>54</v>
      </c>
      <c r="C315" s="188">
        <v>72</v>
      </c>
      <c r="D315" s="188">
        <v>3973</v>
      </c>
      <c r="E315" s="188">
        <v>4258</v>
      </c>
      <c r="F315" s="188">
        <v>1068</v>
      </c>
      <c r="G315" s="188">
        <v>3250</v>
      </c>
      <c r="H315" s="188">
        <v>892</v>
      </c>
      <c r="I315" s="143"/>
    </row>
    <row r="316" spans="1:9" ht="14.25" customHeight="1">
      <c r="A316" s="157" t="s">
        <v>752</v>
      </c>
      <c r="B316" s="186">
        <v>87</v>
      </c>
      <c r="C316" s="188">
        <v>114</v>
      </c>
      <c r="D316" s="188">
        <v>8516</v>
      </c>
      <c r="E316" s="188">
        <v>8151</v>
      </c>
      <c r="F316" s="188">
        <v>1991</v>
      </c>
      <c r="G316" s="188">
        <v>6520</v>
      </c>
      <c r="H316" s="188">
        <v>1499</v>
      </c>
      <c r="I316" s="143"/>
    </row>
    <row r="317" spans="1:9" ht="14.25" customHeight="1">
      <c r="A317" s="157" t="s">
        <v>753</v>
      </c>
      <c r="B317" s="186">
        <v>196</v>
      </c>
      <c r="C317" s="188">
        <v>291</v>
      </c>
      <c r="D317" s="188">
        <v>12303</v>
      </c>
      <c r="E317" s="188">
        <v>12708</v>
      </c>
      <c r="F317" s="188">
        <v>3749</v>
      </c>
      <c r="G317" s="188">
        <v>8965</v>
      </c>
      <c r="H317" s="188">
        <v>3204</v>
      </c>
      <c r="I317" s="143"/>
    </row>
    <row r="318" spans="1:9" ht="14.25" customHeight="1">
      <c r="A318" s="157" t="s">
        <v>754</v>
      </c>
      <c r="B318" s="186">
        <v>54</v>
      </c>
      <c r="C318" s="188">
        <v>90</v>
      </c>
      <c r="D318" s="188">
        <v>2854</v>
      </c>
      <c r="E318" s="188">
        <v>3175</v>
      </c>
      <c r="F318" s="188">
        <v>727</v>
      </c>
      <c r="G318" s="188">
        <v>2156</v>
      </c>
      <c r="H318" s="188">
        <v>641</v>
      </c>
      <c r="I318" s="143"/>
    </row>
    <row r="319" spans="1:9" ht="14.25" customHeight="1">
      <c r="A319" s="157" t="s">
        <v>755</v>
      </c>
      <c r="B319" s="186">
        <v>51</v>
      </c>
      <c r="C319" s="188">
        <v>68</v>
      </c>
      <c r="D319" s="188">
        <v>2517</v>
      </c>
      <c r="E319" s="188">
        <v>2438</v>
      </c>
      <c r="F319" s="188">
        <v>551</v>
      </c>
      <c r="G319" s="188">
        <v>1757</v>
      </c>
      <c r="H319" s="188">
        <v>454</v>
      </c>
      <c r="I319" s="143"/>
    </row>
    <row r="320" spans="1:9" ht="14.25" customHeight="1">
      <c r="A320" s="157" t="s">
        <v>756</v>
      </c>
      <c r="B320" s="186">
        <v>56</v>
      </c>
      <c r="C320" s="188">
        <v>84</v>
      </c>
      <c r="D320" s="188">
        <v>3259</v>
      </c>
      <c r="E320" s="188">
        <v>3393</v>
      </c>
      <c r="F320" s="188">
        <v>1315</v>
      </c>
      <c r="G320" s="188">
        <v>2641</v>
      </c>
      <c r="H320" s="188">
        <v>1192</v>
      </c>
      <c r="I320" s="143"/>
    </row>
    <row r="321" spans="1:9" ht="14.25" customHeight="1">
      <c r="A321" s="157" t="s">
        <v>757</v>
      </c>
      <c r="B321" s="186">
        <v>35</v>
      </c>
      <c r="C321" s="188">
        <v>49</v>
      </c>
      <c r="D321" s="188">
        <v>3673</v>
      </c>
      <c r="E321" s="188">
        <v>3702</v>
      </c>
      <c r="F321" s="188">
        <v>1156</v>
      </c>
      <c r="G321" s="188">
        <v>2411</v>
      </c>
      <c r="H321" s="188">
        <v>917</v>
      </c>
      <c r="I321" s="143"/>
    </row>
    <row r="322" spans="1:9" ht="14.25" customHeight="1">
      <c r="A322" s="157" t="s">
        <v>758</v>
      </c>
      <c r="B322" s="186">
        <v>171</v>
      </c>
      <c r="C322" s="188">
        <v>250</v>
      </c>
      <c r="D322" s="188">
        <v>12138</v>
      </c>
      <c r="E322" s="188">
        <v>11848</v>
      </c>
      <c r="F322" s="188">
        <v>3790</v>
      </c>
      <c r="G322" s="188">
        <v>8639</v>
      </c>
      <c r="H322" s="188">
        <v>2801</v>
      </c>
      <c r="I322" s="143"/>
    </row>
    <row r="323" spans="1:9" ht="14.25" customHeight="1">
      <c r="A323" s="157" t="s">
        <v>759</v>
      </c>
      <c r="B323" s="186">
        <v>39</v>
      </c>
      <c r="C323" s="188">
        <v>58</v>
      </c>
      <c r="D323" s="188">
        <v>2407</v>
      </c>
      <c r="E323" s="188">
        <v>2123</v>
      </c>
      <c r="F323" s="188">
        <v>651</v>
      </c>
      <c r="G323" s="188">
        <v>1363</v>
      </c>
      <c r="H323" s="188">
        <v>558</v>
      </c>
      <c r="I323" s="143"/>
    </row>
    <row r="324" spans="1:9" ht="14.25" customHeight="1">
      <c r="A324" s="157" t="s">
        <v>760</v>
      </c>
      <c r="B324" s="186">
        <v>29</v>
      </c>
      <c r="C324" s="188">
        <v>39</v>
      </c>
      <c r="D324" s="188">
        <v>1432</v>
      </c>
      <c r="E324" s="188">
        <v>1429</v>
      </c>
      <c r="F324" s="188">
        <v>472</v>
      </c>
      <c r="G324" s="188">
        <v>847</v>
      </c>
      <c r="H324" s="188">
        <v>311</v>
      </c>
      <c r="I324" s="143"/>
    </row>
    <row r="325" spans="1:9" ht="14.25" customHeight="1">
      <c r="A325" s="157" t="s">
        <v>761</v>
      </c>
      <c r="B325" s="186">
        <v>53</v>
      </c>
      <c r="C325" s="188">
        <v>78</v>
      </c>
      <c r="D325" s="188">
        <v>4553</v>
      </c>
      <c r="E325" s="188">
        <v>4377</v>
      </c>
      <c r="F325" s="188">
        <v>1611</v>
      </c>
      <c r="G325" s="188">
        <v>3095</v>
      </c>
      <c r="H325" s="188">
        <v>993</v>
      </c>
      <c r="I325" s="143"/>
    </row>
    <row r="326" spans="1:9" ht="14.25" customHeight="1">
      <c r="A326" s="157" t="s">
        <v>762</v>
      </c>
      <c r="B326" s="186">
        <v>37</v>
      </c>
      <c r="C326" s="188">
        <v>54</v>
      </c>
      <c r="D326" s="188">
        <v>3146</v>
      </c>
      <c r="E326" s="188">
        <v>3370</v>
      </c>
      <c r="F326" s="188">
        <v>891</v>
      </c>
      <c r="G326" s="188">
        <v>2951</v>
      </c>
      <c r="H326" s="188">
        <v>814</v>
      </c>
      <c r="I326" s="143"/>
    </row>
    <row r="327" spans="1:9" ht="14.25" customHeight="1">
      <c r="A327" s="157" t="s">
        <v>763</v>
      </c>
      <c r="B327" s="186">
        <v>13</v>
      </c>
      <c r="C327" s="188">
        <v>21</v>
      </c>
      <c r="D327" s="188">
        <v>600</v>
      </c>
      <c r="E327" s="188">
        <v>549</v>
      </c>
      <c r="F327" s="188">
        <v>165</v>
      </c>
      <c r="G327" s="188">
        <v>383</v>
      </c>
      <c r="H327" s="188">
        <v>125</v>
      </c>
      <c r="I327" s="143"/>
    </row>
    <row r="328" spans="1:9" ht="14.25" customHeight="1">
      <c r="A328" s="157" t="s">
        <v>764</v>
      </c>
      <c r="B328" s="186">
        <v>313</v>
      </c>
      <c r="C328" s="188">
        <v>463</v>
      </c>
      <c r="D328" s="188">
        <v>43055</v>
      </c>
      <c r="E328" s="188">
        <v>40154</v>
      </c>
      <c r="F328" s="188">
        <v>14652</v>
      </c>
      <c r="G328" s="188">
        <v>27104</v>
      </c>
      <c r="H328" s="188">
        <v>10711</v>
      </c>
      <c r="I328" s="143"/>
    </row>
    <row r="329" spans="1:9" ht="14.25" customHeight="1">
      <c r="A329" s="157" t="s">
        <v>765</v>
      </c>
      <c r="B329" s="186">
        <v>193</v>
      </c>
      <c r="C329" s="188">
        <v>297</v>
      </c>
      <c r="D329" s="188">
        <v>28181</v>
      </c>
      <c r="E329" s="188">
        <v>26788</v>
      </c>
      <c r="F329" s="188">
        <v>9918</v>
      </c>
      <c r="G329" s="188">
        <v>16516</v>
      </c>
      <c r="H329" s="188">
        <v>6766</v>
      </c>
      <c r="I329" s="143"/>
    </row>
    <row r="330" spans="1:9" ht="14.25" customHeight="1">
      <c r="A330" s="157" t="s">
        <v>766</v>
      </c>
      <c r="B330" s="186">
        <v>95</v>
      </c>
      <c r="C330" s="188">
        <v>135</v>
      </c>
      <c r="D330" s="188">
        <v>11865</v>
      </c>
      <c r="E330" s="188">
        <v>11147</v>
      </c>
      <c r="F330" s="188">
        <v>4052</v>
      </c>
      <c r="G330" s="188">
        <v>9145</v>
      </c>
      <c r="H330" s="188">
        <v>3493</v>
      </c>
      <c r="I330" s="143"/>
    </row>
    <row r="331" spans="1:9" ht="14.25" customHeight="1">
      <c r="A331" s="157" t="s">
        <v>767</v>
      </c>
      <c r="B331" s="186">
        <v>25</v>
      </c>
      <c r="C331" s="188">
        <v>31</v>
      </c>
      <c r="D331" s="188">
        <v>3009</v>
      </c>
      <c r="E331" s="188">
        <v>2219</v>
      </c>
      <c r="F331" s="188">
        <v>682</v>
      </c>
      <c r="G331" s="188">
        <v>1443</v>
      </c>
      <c r="H331" s="188">
        <v>452</v>
      </c>
      <c r="I331" s="143"/>
    </row>
    <row r="332" spans="1:9" ht="14.25" customHeight="1">
      <c r="A332" s="157" t="s">
        <v>768</v>
      </c>
      <c r="B332" s="186">
        <v>117</v>
      </c>
      <c r="C332" s="188">
        <v>206</v>
      </c>
      <c r="D332" s="188">
        <v>7667</v>
      </c>
      <c r="E332" s="188">
        <v>8403</v>
      </c>
      <c r="F332" s="188">
        <v>2529</v>
      </c>
      <c r="G332" s="188">
        <v>6488</v>
      </c>
      <c r="H332" s="188">
        <v>2179</v>
      </c>
      <c r="I332" s="143"/>
    </row>
    <row r="333" spans="1:9" ht="14.25" customHeight="1">
      <c r="A333" s="157" t="s">
        <v>769</v>
      </c>
      <c r="B333" s="186">
        <v>51</v>
      </c>
      <c r="C333" s="188">
        <v>87</v>
      </c>
      <c r="D333" s="188">
        <v>3352</v>
      </c>
      <c r="E333" s="188">
        <v>3922</v>
      </c>
      <c r="F333" s="188">
        <v>1134</v>
      </c>
      <c r="G333" s="188">
        <v>2999</v>
      </c>
      <c r="H333" s="188">
        <v>977</v>
      </c>
      <c r="I333" s="143"/>
    </row>
    <row r="334" spans="1:9" ht="14.25" customHeight="1">
      <c r="A334" s="157" t="s">
        <v>770</v>
      </c>
      <c r="B334" s="186">
        <v>37</v>
      </c>
      <c r="C334" s="188">
        <v>76</v>
      </c>
      <c r="D334" s="188">
        <v>2473</v>
      </c>
      <c r="E334" s="188">
        <v>2376</v>
      </c>
      <c r="F334" s="188">
        <v>828</v>
      </c>
      <c r="G334" s="188">
        <v>1938</v>
      </c>
      <c r="H334" s="188">
        <v>712</v>
      </c>
      <c r="I334" s="143"/>
    </row>
    <row r="335" spans="1:9" ht="14.25" customHeight="1">
      <c r="A335" s="157" t="s">
        <v>771</v>
      </c>
      <c r="B335" s="186">
        <v>29</v>
      </c>
      <c r="C335" s="188">
        <v>43</v>
      </c>
      <c r="D335" s="188">
        <v>1842</v>
      </c>
      <c r="E335" s="188">
        <v>2105</v>
      </c>
      <c r="F335" s="188">
        <v>567</v>
      </c>
      <c r="G335" s="188">
        <v>1551</v>
      </c>
      <c r="H335" s="188">
        <v>490</v>
      </c>
      <c r="I335" s="143"/>
    </row>
    <row r="336" spans="1:9" ht="14.25" customHeight="1">
      <c r="A336" s="255" t="s">
        <v>772</v>
      </c>
      <c r="B336" s="186">
        <v>1614</v>
      </c>
      <c r="C336" s="188">
        <v>2414</v>
      </c>
      <c r="D336" s="188">
        <v>158025</v>
      </c>
      <c r="E336" s="188">
        <v>156803</v>
      </c>
      <c r="F336" s="188">
        <v>43373</v>
      </c>
      <c r="G336" s="188">
        <v>119533</v>
      </c>
      <c r="H336" s="188">
        <v>35310</v>
      </c>
      <c r="I336" s="143"/>
    </row>
    <row r="337" spans="1:9" ht="14.25" customHeight="1">
      <c r="A337" s="157" t="s">
        <v>773</v>
      </c>
      <c r="B337" s="186">
        <v>1614</v>
      </c>
      <c r="C337" s="188">
        <v>2414</v>
      </c>
      <c r="D337" s="188">
        <v>158025</v>
      </c>
      <c r="E337" s="188">
        <v>156803</v>
      </c>
      <c r="F337" s="188">
        <v>43373</v>
      </c>
      <c r="G337" s="188">
        <v>119533</v>
      </c>
      <c r="H337" s="188">
        <v>35310</v>
      </c>
      <c r="I337" s="143"/>
    </row>
    <row r="338" spans="1:9" ht="14.25" customHeight="1">
      <c r="A338" s="157" t="s">
        <v>774</v>
      </c>
      <c r="B338" s="186">
        <v>294</v>
      </c>
      <c r="C338" s="188">
        <v>415</v>
      </c>
      <c r="D338" s="188">
        <v>24624</v>
      </c>
      <c r="E338" s="188">
        <v>24405</v>
      </c>
      <c r="F338" s="188">
        <v>6987</v>
      </c>
      <c r="G338" s="188">
        <v>18839</v>
      </c>
      <c r="H338" s="188">
        <v>6029</v>
      </c>
      <c r="I338" s="143"/>
    </row>
    <row r="339" spans="1:9" ht="14.25" customHeight="1">
      <c r="A339" s="157" t="s">
        <v>731</v>
      </c>
      <c r="B339" s="186">
        <v>75</v>
      </c>
      <c r="C339" s="188">
        <v>110</v>
      </c>
      <c r="D339" s="188">
        <v>7264</v>
      </c>
      <c r="E339" s="188">
        <v>7235</v>
      </c>
      <c r="F339" s="188">
        <v>2129</v>
      </c>
      <c r="G339" s="188">
        <v>5880</v>
      </c>
      <c r="H339" s="188">
        <v>1923</v>
      </c>
      <c r="I339" s="143"/>
    </row>
    <row r="340" spans="1:9" ht="14.25" customHeight="1">
      <c r="A340" s="157" t="s">
        <v>775</v>
      </c>
      <c r="B340" s="186">
        <v>76</v>
      </c>
      <c r="C340" s="188">
        <v>103</v>
      </c>
      <c r="D340" s="188">
        <v>6002</v>
      </c>
      <c r="E340" s="188">
        <v>6222</v>
      </c>
      <c r="F340" s="188">
        <v>1714</v>
      </c>
      <c r="G340" s="188">
        <v>4990</v>
      </c>
      <c r="H340" s="188">
        <v>1535</v>
      </c>
      <c r="I340" s="143"/>
    </row>
    <row r="341" spans="1:9" ht="14.25" customHeight="1">
      <c r="A341" s="157" t="s">
        <v>776</v>
      </c>
      <c r="B341" s="186">
        <v>72</v>
      </c>
      <c r="C341" s="188">
        <v>84</v>
      </c>
      <c r="D341" s="188">
        <v>4035</v>
      </c>
      <c r="E341" s="188">
        <v>4057</v>
      </c>
      <c r="F341" s="188">
        <v>1202</v>
      </c>
      <c r="G341" s="188">
        <v>3166</v>
      </c>
      <c r="H341" s="188">
        <v>1017</v>
      </c>
      <c r="I341" s="143"/>
    </row>
    <row r="342" spans="1:9" ht="14.25" customHeight="1">
      <c r="A342" s="157" t="s">
        <v>777</v>
      </c>
      <c r="B342" s="186">
        <v>71</v>
      </c>
      <c r="C342" s="188">
        <v>118</v>
      </c>
      <c r="D342" s="188">
        <v>7323</v>
      </c>
      <c r="E342" s="188">
        <v>6891</v>
      </c>
      <c r="F342" s="188">
        <v>1942</v>
      </c>
      <c r="G342" s="188">
        <v>4803</v>
      </c>
      <c r="H342" s="188">
        <v>1554</v>
      </c>
      <c r="I342" s="143"/>
    </row>
    <row r="343" spans="1:9" ht="14.25" customHeight="1">
      <c r="A343" s="157" t="s">
        <v>778</v>
      </c>
      <c r="B343" s="186">
        <v>163</v>
      </c>
      <c r="C343" s="188">
        <v>235</v>
      </c>
      <c r="D343" s="188">
        <v>17232</v>
      </c>
      <c r="E343" s="188">
        <v>16728</v>
      </c>
      <c r="F343" s="188">
        <v>4139</v>
      </c>
      <c r="G343" s="188">
        <v>13087</v>
      </c>
      <c r="H343" s="188">
        <v>3389</v>
      </c>
      <c r="I343" s="143"/>
    </row>
    <row r="344" spans="1:9" ht="14.25" customHeight="1">
      <c r="A344" s="157" t="s">
        <v>779</v>
      </c>
      <c r="B344" s="186">
        <v>39</v>
      </c>
      <c r="C344" s="188">
        <v>55</v>
      </c>
      <c r="D344" s="188">
        <v>2899</v>
      </c>
      <c r="E344" s="188">
        <v>2823</v>
      </c>
      <c r="F344" s="188">
        <v>700</v>
      </c>
      <c r="G344" s="188">
        <v>2086</v>
      </c>
      <c r="H344" s="188">
        <v>598</v>
      </c>
      <c r="I344" s="143"/>
    </row>
    <row r="345" spans="1:9" ht="14.25" customHeight="1">
      <c r="A345" s="157" t="s">
        <v>780</v>
      </c>
      <c r="B345" s="186">
        <v>67</v>
      </c>
      <c r="C345" s="188">
        <v>92</v>
      </c>
      <c r="D345" s="188">
        <v>7613</v>
      </c>
      <c r="E345" s="188">
        <v>6829</v>
      </c>
      <c r="F345" s="188">
        <v>1592</v>
      </c>
      <c r="G345" s="188">
        <v>5284</v>
      </c>
      <c r="H345" s="188">
        <v>1291</v>
      </c>
      <c r="I345" s="143"/>
    </row>
    <row r="346" spans="1:9" ht="14.25" customHeight="1">
      <c r="A346" s="157" t="s">
        <v>781</v>
      </c>
      <c r="B346" s="186">
        <v>45</v>
      </c>
      <c r="C346" s="188">
        <v>70</v>
      </c>
      <c r="D346" s="188">
        <v>5877</v>
      </c>
      <c r="E346" s="188">
        <v>6120</v>
      </c>
      <c r="F346" s="188">
        <v>1684</v>
      </c>
      <c r="G346" s="188">
        <v>4894</v>
      </c>
      <c r="H346" s="188">
        <v>1360</v>
      </c>
      <c r="I346" s="143"/>
    </row>
    <row r="347" spans="1:9" ht="14.25" customHeight="1">
      <c r="A347" s="157" t="s">
        <v>782</v>
      </c>
      <c r="B347" s="186">
        <v>12</v>
      </c>
      <c r="C347" s="188">
        <v>18</v>
      </c>
      <c r="D347" s="188">
        <v>843</v>
      </c>
      <c r="E347" s="188">
        <v>956</v>
      </c>
      <c r="F347" s="188">
        <v>163</v>
      </c>
      <c r="G347" s="188">
        <v>823</v>
      </c>
      <c r="H347" s="188">
        <v>140</v>
      </c>
      <c r="I347" s="143"/>
    </row>
    <row r="348" spans="1:9" ht="14.25" customHeight="1">
      <c r="A348" s="157" t="s">
        <v>783</v>
      </c>
      <c r="B348" s="186">
        <v>185</v>
      </c>
      <c r="C348" s="188">
        <v>297</v>
      </c>
      <c r="D348" s="188">
        <v>15198</v>
      </c>
      <c r="E348" s="188">
        <v>15272</v>
      </c>
      <c r="F348" s="188">
        <v>4219</v>
      </c>
      <c r="G348" s="188">
        <v>11686</v>
      </c>
      <c r="H348" s="188">
        <v>3586</v>
      </c>
      <c r="I348" s="143"/>
    </row>
    <row r="349" spans="1:9" ht="14.25" customHeight="1">
      <c r="A349" s="157" t="s">
        <v>784</v>
      </c>
      <c r="B349" s="186">
        <v>56</v>
      </c>
      <c r="C349" s="188">
        <v>101</v>
      </c>
      <c r="D349" s="188">
        <v>3513</v>
      </c>
      <c r="E349" s="188">
        <v>3632</v>
      </c>
      <c r="F349" s="188">
        <v>739</v>
      </c>
      <c r="G349" s="188">
        <v>2675</v>
      </c>
      <c r="H349" s="188">
        <v>638</v>
      </c>
      <c r="I349" s="143"/>
    </row>
    <row r="350" spans="1:9" ht="14.25" customHeight="1">
      <c r="A350" s="157" t="s">
        <v>785</v>
      </c>
      <c r="B350" s="186">
        <v>29</v>
      </c>
      <c r="C350" s="188">
        <v>47</v>
      </c>
      <c r="D350" s="188">
        <v>3196</v>
      </c>
      <c r="E350" s="188">
        <v>3185</v>
      </c>
      <c r="F350" s="188">
        <v>770</v>
      </c>
      <c r="G350" s="188">
        <v>2652</v>
      </c>
      <c r="H350" s="188">
        <v>681</v>
      </c>
      <c r="I350" s="143"/>
    </row>
    <row r="351" spans="1:9" ht="14.25" customHeight="1">
      <c r="A351" s="157" t="s">
        <v>786</v>
      </c>
      <c r="B351" s="186">
        <v>20</v>
      </c>
      <c r="C351" s="188">
        <v>29</v>
      </c>
      <c r="D351" s="188">
        <v>994</v>
      </c>
      <c r="E351" s="188">
        <v>1177</v>
      </c>
      <c r="F351" s="188">
        <v>433</v>
      </c>
      <c r="G351" s="188">
        <v>947</v>
      </c>
      <c r="H351" s="188">
        <v>382</v>
      </c>
      <c r="I351" s="143"/>
    </row>
    <row r="352" spans="1:9" ht="14.25" customHeight="1">
      <c r="A352" s="157" t="s">
        <v>787</v>
      </c>
      <c r="B352" s="186">
        <v>80</v>
      </c>
      <c r="C352" s="188">
        <v>120</v>
      </c>
      <c r="D352" s="188">
        <v>7495</v>
      </c>
      <c r="E352" s="188">
        <v>7278</v>
      </c>
      <c r="F352" s="188">
        <v>2277</v>
      </c>
      <c r="G352" s="188">
        <v>5412</v>
      </c>
      <c r="H352" s="188">
        <v>1885</v>
      </c>
      <c r="I352" s="143"/>
    </row>
    <row r="353" spans="1:9" ht="14.25" customHeight="1">
      <c r="A353" s="157" t="s">
        <v>788</v>
      </c>
      <c r="B353" s="186">
        <v>142</v>
      </c>
      <c r="C353" s="188">
        <v>213</v>
      </c>
      <c r="D353" s="188">
        <v>18577</v>
      </c>
      <c r="E353" s="188">
        <v>18114</v>
      </c>
      <c r="F353" s="188">
        <v>4707</v>
      </c>
      <c r="G353" s="188">
        <v>14515</v>
      </c>
      <c r="H353" s="188">
        <v>4128</v>
      </c>
      <c r="I353" s="143"/>
    </row>
    <row r="354" spans="1:9" ht="14.25" customHeight="1">
      <c r="A354" s="157" t="s">
        <v>789</v>
      </c>
      <c r="B354" s="186">
        <v>49</v>
      </c>
      <c r="C354" s="188">
        <v>71</v>
      </c>
      <c r="D354" s="188">
        <v>4172</v>
      </c>
      <c r="E354" s="188">
        <v>3741</v>
      </c>
      <c r="F354" s="188">
        <v>852</v>
      </c>
      <c r="G354" s="188">
        <v>2656</v>
      </c>
      <c r="H354" s="188">
        <v>724</v>
      </c>
      <c r="I354" s="143"/>
    </row>
    <row r="355" spans="1:9" ht="14.25" customHeight="1">
      <c r="A355" s="157" t="s">
        <v>790</v>
      </c>
      <c r="B355" s="186">
        <v>59</v>
      </c>
      <c r="C355" s="188">
        <v>98</v>
      </c>
      <c r="D355" s="188">
        <v>8645</v>
      </c>
      <c r="E355" s="188">
        <v>8666</v>
      </c>
      <c r="F355" s="188">
        <v>2419</v>
      </c>
      <c r="G355" s="188">
        <v>6964</v>
      </c>
      <c r="H355" s="188">
        <v>2107</v>
      </c>
      <c r="I355" s="143"/>
    </row>
    <row r="356" spans="1:9" ht="14.25" customHeight="1">
      <c r="A356" s="157" t="s">
        <v>791</v>
      </c>
      <c r="B356" s="186">
        <v>34</v>
      </c>
      <c r="C356" s="188">
        <v>44</v>
      </c>
      <c r="D356" s="188">
        <v>5760</v>
      </c>
      <c r="E356" s="188">
        <v>5707</v>
      </c>
      <c r="F356" s="188">
        <v>1436</v>
      </c>
      <c r="G356" s="188">
        <v>4895</v>
      </c>
      <c r="H356" s="188">
        <v>1297</v>
      </c>
      <c r="I356" s="143"/>
    </row>
    <row r="357" spans="1:9" ht="14.25" customHeight="1">
      <c r="A357" s="157" t="s">
        <v>792</v>
      </c>
      <c r="B357" s="186">
        <v>238</v>
      </c>
      <c r="C357" s="188">
        <v>402</v>
      </c>
      <c r="D357" s="188">
        <v>28084</v>
      </c>
      <c r="E357" s="188">
        <v>27753</v>
      </c>
      <c r="F357" s="188">
        <v>10139</v>
      </c>
      <c r="G357" s="188">
        <v>19480</v>
      </c>
      <c r="H357" s="188">
        <v>7042</v>
      </c>
      <c r="I357" s="143"/>
    </row>
    <row r="358" spans="1:9" ht="14.25" customHeight="1">
      <c r="A358" s="157" t="s">
        <v>793</v>
      </c>
      <c r="B358" s="186">
        <v>34</v>
      </c>
      <c r="C358" s="188">
        <v>55</v>
      </c>
      <c r="D358" s="188">
        <v>4212</v>
      </c>
      <c r="E358" s="188">
        <v>4203</v>
      </c>
      <c r="F358" s="188">
        <v>1397</v>
      </c>
      <c r="G358" s="188">
        <v>3267</v>
      </c>
      <c r="H358" s="188">
        <v>3267</v>
      </c>
      <c r="I358" s="143"/>
    </row>
    <row r="359" spans="1:9" ht="14.25" customHeight="1">
      <c r="A359" s="157" t="s">
        <v>794</v>
      </c>
      <c r="B359" s="186">
        <v>115</v>
      </c>
      <c r="C359" s="188">
        <v>212</v>
      </c>
      <c r="D359" s="188">
        <v>14337</v>
      </c>
      <c r="E359" s="188">
        <v>14092</v>
      </c>
      <c r="F359" s="188">
        <v>5670</v>
      </c>
      <c r="G359" s="188">
        <v>8949</v>
      </c>
      <c r="H359" s="188">
        <v>3282</v>
      </c>
      <c r="I359" s="143"/>
    </row>
    <row r="360" spans="1:9" ht="14.25" customHeight="1">
      <c r="A360" s="157" t="s">
        <v>795</v>
      </c>
      <c r="B360" s="186">
        <v>24</v>
      </c>
      <c r="C360" s="188">
        <v>37</v>
      </c>
      <c r="D360" s="188">
        <v>2245</v>
      </c>
      <c r="E360" s="188">
        <v>2090</v>
      </c>
      <c r="F360" s="188">
        <v>549</v>
      </c>
      <c r="G360" s="188">
        <v>1444</v>
      </c>
      <c r="H360" s="188">
        <v>439</v>
      </c>
      <c r="I360" s="143"/>
    </row>
    <row r="361" spans="1:9" ht="14.25" customHeight="1">
      <c r="A361" s="157" t="s">
        <v>796</v>
      </c>
      <c r="B361" s="186">
        <v>33</v>
      </c>
      <c r="C361" s="188">
        <v>48</v>
      </c>
      <c r="D361" s="188">
        <v>3986</v>
      </c>
      <c r="E361" s="188">
        <v>3958</v>
      </c>
      <c r="F361" s="188">
        <v>1458</v>
      </c>
      <c r="G361" s="188">
        <v>3437</v>
      </c>
      <c r="H361" s="188">
        <v>1277</v>
      </c>
      <c r="I361" s="143"/>
    </row>
    <row r="362" spans="1:9" ht="14.25" customHeight="1">
      <c r="A362" s="157" t="s">
        <v>797</v>
      </c>
      <c r="B362" s="186">
        <v>17</v>
      </c>
      <c r="C362" s="188">
        <v>23</v>
      </c>
      <c r="D362" s="188">
        <v>2020</v>
      </c>
      <c r="E362" s="188">
        <v>2103</v>
      </c>
      <c r="F362" s="188">
        <v>643</v>
      </c>
      <c r="G362" s="188">
        <v>1409</v>
      </c>
      <c r="H362" s="188">
        <v>457</v>
      </c>
      <c r="I362" s="143"/>
    </row>
    <row r="363" spans="1:9" ht="14.25" customHeight="1">
      <c r="A363" s="157" t="s">
        <v>798</v>
      </c>
      <c r="B363" s="186">
        <v>15</v>
      </c>
      <c r="C363" s="188">
        <v>27</v>
      </c>
      <c r="D363" s="188">
        <v>1284</v>
      </c>
      <c r="E363" s="188">
        <v>1307</v>
      </c>
      <c r="F363" s="188">
        <v>422</v>
      </c>
      <c r="G363" s="188">
        <v>974</v>
      </c>
      <c r="H363" s="188">
        <v>310</v>
      </c>
      <c r="I363" s="143"/>
    </row>
    <row r="364" spans="1:9" ht="14.25" customHeight="1">
      <c r="A364" s="157" t="s">
        <v>799</v>
      </c>
      <c r="B364" s="186">
        <v>272</v>
      </c>
      <c r="C364" s="188">
        <v>384</v>
      </c>
      <c r="D364" s="188">
        <v>21963</v>
      </c>
      <c r="E364" s="188">
        <v>22549</v>
      </c>
      <c r="F364" s="188">
        <v>5053</v>
      </c>
      <c r="G364" s="188">
        <v>16681</v>
      </c>
      <c r="H364" s="188">
        <v>4275</v>
      </c>
      <c r="I364" s="143"/>
    </row>
    <row r="365" spans="1:9" ht="14.25" customHeight="1">
      <c r="A365" s="157" t="s">
        <v>800</v>
      </c>
      <c r="B365" s="186">
        <v>63</v>
      </c>
      <c r="C365" s="188">
        <v>102</v>
      </c>
      <c r="D365" s="188">
        <v>3883</v>
      </c>
      <c r="E365" s="188">
        <v>4574</v>
      </c>
      <c r="F365" s="188">
        <v>1036</v>
      </c>
      <c r="G365" s="188">
        <v>3269</v>
      </c>
      <c r="H365" s="188">
        <v>893</v>
      </c>
      <c r="I365" s="143"/>
    </row>
    <row r="366" spans="1:9" ht="14.25" customHeight="1">
      <c r="A366" s="157" t="s">
        <v>801</v>
      </c>
      <c r="B366" s="186">
        <v>32</v>
      </c>
      <c r="C366" s="188">
        <v>46</v>
      </c>
      <c r="D366" s="188">
        <v>2017</v>
      </c>
      <c r="E366" s="188">
        <v>2522</v>
      </c>
      <c r="F366" s="188">
        <v>362</v>
      </c>
      <c r="G366" s="188">
        <v>1843</v>
      </c>
      <c r="H366" s="188">
        <v>261</v>
      </c>
      <c r="I366" s="143"/>
    </row>
    <row r="367" spans="1:9" ht="14.25" customHeight="1">
      <c r="A367" s="157" t="s">
        <v>802</v>
      </c>
      <c r="B367" s="186">
        <v>69</v>
      </c>
      <c r="C367" s="188">
        <v>96</v>
      </c>
      <c r="D367" s="188">
        <v>6655</v>
      </c>
      <c r="E367" s="188">
        <v>5976</v>
      </c>
      <c r="F367" s="188">
        <v>1314</v>
      </c>
      <c r="G367" s="188">
        <v>4740</v>
      </c>
      <c r="H367" s="188">
        <v>1242</v>
      </c>
      <c r="I367" s="143"/>
    </row>
    <row r="368" spans="1:9" ht="14.25" customHeight="1">
      <c r="A368" s="157" t="s">
        <v>803</v>
      </c>
      <c r="B368" s="186">
        <v>32</v>
      </c>
      <c r="C368" s="188">
        <v>41</v>
      </c>
      <c r="D368" s="188">
        <v>2263</v>
      </c>
      <c r="E368" s="188">
        <v>2221</v>
      </c>
      <c r="F368" s="188">
        <v>723</v>
      </c>
      <c r="G368" s="188">
        <v>1331</v>
      </c>
      <c r="H368" s="188">
        <v>489</v>
      </c>
      <c r="I368" s="143"/>
    </row>
    <row r="369" spans="1:9" ht="14.25" customHeight="1">
      <c r="A369" s="157" t="s">
        <v>804</v>
      </c>
      <c r="B369" s="186">
        <v>53</v>
      </c>
      <c r="C369" s="188">
        <v>67</v>
      </c>
      <c r="D369" s="188">
        <v>5301</v>
      </c>
      <c r="E369" s="188">
        <v>5269</v>
      </c>
      <c r="F369" s="188">
        <v>1100</v>
      </c>
      <c r="G369" s="188">
        <v>3908</v>
      </c>
      <c r="H369" s="188">
        <v>944</v>
      </c>
      <c r="I369" s="143"/>
    </row>
    <row r="370" spans="1:9" ht="14.25" customHeight="1">
      <c r="A370" s="157" t="s">
        <v>805</v>
      </c>
      <c r="B370" s="186">
        <v>23</v>
      </c>
      <c r="C370" s="188">
        <v>32</v>
      </c>
      <c r="D370" s="188">
        <v>1844</v>
      </c>
      <c r="E370" s="188">
        <v>1987</v>
      </c>
      <c r="F370" s="188">
        <v>518</v>
      </c>
      <c r="G370" s="188">
        <v>1590</v>
      </c>
      <c r="H370" s="188">
        <v>446</v>
      </c>
      <c r="I370" s="143"/>
    </row>
    <row r="371" spans="1:9" ht="14.25" customHeight="1">
      <c r="A371" s="157" t="s">
        <v>806</v>
      </c>
      <c r="B371" s="186">
        <v>167</v>
      </c>
      <c r="C371" s="188">
        <v>241</v>
      </c>
      <c r="D371" s="188">
        <v>16160</v>
      </c>
      <c r="E371" s="188">
        <v>17064</v>
      </c>
      <c r="F371" s="188">
        <v>4475</v>
      </c>
      <c r="G371" s="188">
        <v>13541</v>
      </c>
      <c r="H371" s="188">
        <v>3740</v>
      </c>
      <c r="I371" s="143"/>
    </row>
    <row r="372" spans="1:9" ht="14.25" customHeight="1">
      <c r="A372" s="157" t="s">
        <v>807</v>
      </c>
      <c r="B372" s="186">
        <v>38</v>
      </c>
      <c r="C372" s="188">
        <v>55</v>
      </c>
      <c r="D372" s="188">
        <v>3678</v>
      </c>
      <c r="E372" s="188">
        <v>3707</v>
      </c>
      <c r="F372" s="188">
        <v>666</v>
      </c>
      <c r="G372" s="188">
        <v>3023</v>
      </c>
      <c r="H372" s="188">
        <v>576</v>
      </c>
      <c r="I372" s="143"/>
    </row>
    <row r="373" spans="1:9" ht="14.25" customHeight="1">
      <c r="A373" s="157" t="s">
        <v>808</v>
      </c>
      <c r="B373" s="186">
        <v>32</v>
      </c>
      <c r="C373" s="188">
        <v>45</v>
      </c>
      <c r="D373" s="188">
        <v>2293</v>
      </c>
      <c r="E373" s="188">
        <v>2391</v>
      </c>
      <c r="F373" s="188">
        <v>542</v>
      </c>
      <c r="G373" s="188">
        <v>1815</v>
      </c>
      <c r="H373" s="188">
        <v>380</v>
      </c>
      <c r="I373" s="143"/>
    </row>
    <row r="374" spans="1:9" ht="14.25" customHeight="1">
      <c r="A374" s="157" t="s">
        <v>809</v>
      </c>
      <c r="B374" s="186">
        <v>33</v>
      </c>
      <c r="C374" s="188">
        <v>45</v>
      </c>
      <c r="D374" s="188">
        <v>3228</v>
      </c>
      <c r="E374" s="188">
        <v>3962</v>
      </c>
      <c r="F374" s="188">
        <v>1141</v>
      </c>
      <c r="G374" s="188">
        <v>3452</v>
      </c>
      <c r="H374" s="188">
        <v>1007</v>
      </c>
      <c r="I374" s="143"/>
    </row>
    <row r="375" spans="1:9" ht="14.25" customHeight="1">
      <c r="A375" s="157" t="s">
        <v>810</v>
      </c>
      <c r="B375" s="186">
        <v>29</v>
      </c>
      <c r="C375" s="188">
        <v>51</v>
      </c>
      <c r="D375" s="188">
        <v>2943</v>
      </c>
      <c r="E375" s="188">
        <v>3043</v>
      </c>
      <c r="F375" s="188">
        <v>772</v>
      </c>
      <c r="G375" s="188">
        <v>2171</v>
      </c>
      <c r="H375" s="188">
        <v>672</v>
      </c>
      <c r="I375" s="143"/>
    </row>
    <row r="376" spans="1:9" ht="14.25" customHeight="1">
      <c r="A376" s="157" t="s">
        <v>811</v>
      </c>
      <c r="B376" s="186">
        <v>35</v>
      </c>
      <c r="C376" s="188">
        <v>45</v>
      </c>
      <c r="D376" s="188">
        <v>4018</v>
      </c>
      <c r="E376" s="188">
        <v>3961</v>
      </c>
      <c r="F376" s="188">
        <v>1354</v>
      </c>
      <c r="G376" s="188">
        <v>3080</v>
      </c>
      <c r="H376" s="188">
        <v>1105</v>
      </c>
      <c r="I376" s="143"/>
    </row>
    <row r="377" spans="1:9" ht="14.25" customHeight="1">
      <c r="A377" s="157" t="s">
        <v>812</v>
      </c>
      <c r="B377" s="186">
        <v>153</v>
      </c>
      <c r="C377" s="188">
        <v>227</v>
      </c>
      <c r="D377" s="188">
        <v>16187</v>
      </c>
      <c r="E377" s="188">
        <v>14918</v>
      </c>
      <c r="F377" s="188">
        <v>3654</v>
      </c>
      <c r="G377" s="188">
        <v>11704</v>
      </c>
      <c r="H377" s="188">
        <v>3121</v>
      </c>
      <c r="I377" s="143"/>
    </row>
    <row r="378" spans="1:9" ht="14.25" customHeight="1">
      <c r="A378" s="157" t="s">
        <v>813</v>
      </c>
      <c r="B378" s="186">
        <v>34</v>
      </c>
      <c r="C378" s="188">
        <v>57</v>
      </c>
      <c r="D378" s="188">
        <v>3397</v>
      </c>
      <c r="E378" s="188">
        <v>3656</v>
      </c>
      <c r="F378" s="188">
        <v>881</v>
      </c>
      <c r="G378" s="188">
        <v>2750</v>
      </c>
      <c r="H378" s="188">
        <v>719</v>
      </c>
      <c r="I378" s="143"/>
    </row>
    <row r="379" spans="1:9" ht="14.25" customHeight="1">
      <c r="A379" s="157" t="s">
        <v>814</v>
      </c>
      <c r="B379" s="186">
        <v>65</v>
      </c>
      <c r="C379" s="188">
        <v>90</v>
      </c>
      <c r="D379" s="188">
        <v>5036</v>
      </c>
      <c r="E379" s="188">
        <v>5241</v>
      </c>
      <c r="F379" s="188">
        <v>1447</v>
      </c>
      <c r="G379" s="188">
        <v>4297</v>
      </c>
      <c r="H379" s="188">
        <v>1310</v>
      </c>
      <c r="I379" s="143"/>
    </row>
    <row r="380" spans="1:9" ht="14.25" customHeight="1">
      <c r="A380" s="157" t="s">
        <v>815</v>
      </c>
      <c r="B380" s="186">
        <v>24</v>
      </c>
      <c r="C380" s="188">
        <v>32</v>
      </c>
      <c r="D380" s="188">
        <v>5195</v>
      </c>
      <c r="E380" s="188">
        <v>2264</v>
      </c>
      <c r="F380" s="188">
        <v>584</v>
      </c>
      <c r="G380" s="188">
        <v>1725</v>
      </c>
      <c r="H380" s="188">
        <v>467</v>
      </c>
      <c r="I380" s="143"/>
    </row>
    <row r="381" spans="1:9" ht="14.25" customHeight="1">
      <c r="A381" s="157" t="s">
        <v>816</v>
      </c>
      <c r="B381" s="186">
        <v>30</v>
      </c>
      <c r="C381" s="188">
        <v>48</v>
      </c>
      <c r="D381" s="188">
        <v>2559</v>
      </c>
      <c r="E381" s="188">
        <v>3757</v>
      </c>
      <c r="F381" s="188">
        <v>742</v>
      </c>
      <c r="G381" s="188">
        <v>2932</v>
      </c>
      <c r="H381" s="188">
        <v>625</v>
      </c>
      <c r="I381" s="143"/>
    </row>
    <row r="382" spans="1:9" ht="14.25" customHeight="1">
      <c r="A382" s="255" t="s">
        <v>817</v>
      </c>
      <c r="B382" s="186">
        <v>375</v>
      </c>
      <c r="C382" s="188">
        <v>609</v>
      </c>
      <c r="D382" s="188">
        <v>28760</v>
      </c>
      <c r="E382" s="188">
        <v>32243</v>
      </c>
      <c r="F382" s="188">
        <v>8442</v>
      </c>
      <c r="G382" s="188">
        <v>23846</v>
      </c>
      <c r="H382" s="188">
        <v>6839</v>
      </c>
      <c r="I382" s="143"/>
    </row>
    <row r="383" spans="1:9" ht="14.25" customHeight="1">
      <c r="A383" s="157" t="s">
        <v>818</v>
      </c>
      <c r="B383" s="186">
        <v>375</v>
      </c>
      <c r="C383" s="188">
        <v>609</v>
      </c>
      <c r="D383" s="188">
        <v>28760</v>
      </c>
      <c r="E383" s="188">
        <v>32243</v>
      </c>
      <c r="F383" s="188">
        <v>8442</v>
      </c>
      <c r="G383" s="188">
        <v>23846</v>
      </c>
      <c r="H383" s="188">
        <v>6839</v>
      </c>
      <c r="I383" s="143"/>
    </row>
    <row r="384" spans="1:9" ht="14.25" customHeight="1">
      <c r="A384" s="157" t="s">
        <v>819</v>
      </c>
      <c r="B384" s="186">
        <v>230</v>
      </c>
      <c r="C384" s="188">
        <v>390</v>
      </c>
      <c r="D384" s="188">
        <v>20568</v>
      </c>
      <c r="E384" s="188">
        <v>21682</v>
      </c>
      <c r="F384" s="188">
        <v>6184</v>
      </c>
      <c r="G384" s="188">
        <v>15607</v>
      </c>
      <c r="H384" s="188">
        <v>4880</v>
      </c>
      <c r="I384" s="143"/>
    </row>
    <row r="385" spans="1:9" ht="14.25" customHeight="1">
      <c r="A385" s="157" t="s">
        <v>820</v>
      </c>
      <c r="B385" s="186">
        <v>69</v>
      </c>
      <c r="C385" s="188">
        <v>117</v>
      </c>
      <c r="D385" s="188">
        <v>5063</v>
      </c>
      <c r="E385" s="188">
        <v>5944</v>
      </c>
      <c r="F385" s="188">
        <v>1239</v>
      </c>
      <c r="G385" s="188">
        <v>4452</v>
      </c>
      <c r="H385" s="188">
        <v>989</v>
      </c>
      <c r="I385" s="143"/>
    </row>
    <row r="386" spans="1:9" ht="14.25" customHeight="1">
      <c r="A386" s="157" t="s">
        <v>821</v>
      </c>
      <c r="B386" s="186">
        <v>18</v>
      </c>
      <c r="C386" s="188">
        <v>28</v>
      </c>
      <c r="D386" s="188">
        <v>1519</v>
      </c>
      <c r="E386" s="188">
        <v>1739</v>
      </c>
      <c r="F386" s="188">
        <v>471</v>
      </c>
      <c r="G386" s="188">
        <v>1246</v>
      </c>
      <c r="H386" s="188">
        <v>434</v>
      </c>
      <c r="I386" s="143"/>
    </row>
    <row r="387" spans="1:9" ht="14.25" customHeight="1">
      <c r="A387" s="157" t="s">
        <v>822</v>
      </c>
      <c r="B387" s="186">
        <v>20</v>
      </c>
      <c r="C387" s="188">
        <v>34</v>
      </c>
      <c r="D387" s="188">
        <v>1883</v>
      </c>
      <c r="E387" s="188">
        <v>1853</v>
      </c>
      <c r="F387" s="188">
        <v>575</v>
      </c>
      <c r="G387" s="188">
        <v>1563</v>
      </c>
      <c r="H387" s="188">
        <v>486</v>
      </c>
      <c r="I387" s="143"/>
    </row>
    <row r="388" spans="1:9" ht="14.25" customHeight="1">
      <c r="A388" s="157" t="s">
        <v>823</v>
      </c>
      <c r="B388" s="186">
        <v>18</v>
      </c>
      <c r="C388" s="188">
        <v>26</v>
      </c>
      <c r="D388" s="188">
        <v>1260</v>
      </c>
      <c r="E388" s="188">
        <v>1003</v>
      </c>
      <c r="F388" s="188">
        <v>437</v>
      </c>
      <c r="G388" s="188">
        <v>822</v>
      </c>
      <c r="H388" s="188">
        <v>408</v>
      </c>
      <c r="I388" s="143"/>
    </row>
    <row r="389" spans="1:9" ht="14.25" customHeight="1">
      <c r="A389" s="157" t="s">
        <v>824</v>
      </c>
      <c r="B389" s="186">
        <v>31</v>
      </c>
      <c r="C389" s="188">
        <v>43</v>
      </c>
      <c r="D389" s="188">
        <v>2755</v>
      </c>
      <c r="E389" s="188">
        <v>2344</v>
      </c>
      <c r="F389" s="188">
        <v>762</v>
      </c>
      <c r="G389" s="188">
        <v>1822</v>
      </c>
      <c r="H389" s="188">
        <v>619</v>
      </c>
      <c r="I389" s="143"/>
    </row>
    <row r="390" spans="1:9" ht="14.25" customHeight="1">
      <c r="A390" s="157" t="s">
        <v>825</v>
      </c>
      <c r="B390" s="186">
        <v>74</v>
      </c>
      <c r="C390" s="188">
        <v>142</v>
      </c>
      <c r="D390" s="188">
        <v>8088</v>
      </c>
      <c r="E390" s="188">
        <v>8799</v>
      </c>
      <c r="F390" s="188">
        <v>2700</v>
      </c>
      <c r="G390" s="188">
        <v>5702</v>
      </c>
      <c r="H390" s="188">
        <v>1944</v>
      </c>
      <c r="I390" s="143"/>
    </row>
    <row r="391" spans="1:9" ht="14.25" customHeight="1">
      <c r="A391" s="157" t="s">
        <v>826</v>
      </c>
      <c r="B391" s="186">
        <v>145</v>
      </c>
      <c r="C391" s="188">
        <v>219</v>
      </c>
      <c r="D391" s="188">
        <v>8192</v>
      </c>
      <c r="E391" s="188">
        <v>10561</v>
      </c>
      <c r="F391" s="188">
        <v>2258</v>
      </c>
      <c r="G391" s="188">
        <v>8239</v>
      </c>
      <c r="H391" s="188">
        <v>1959</v>
      </c>
      <c r="I391" s="143"/>
    </row>
    <row r="392" spans="1:9" ht="14.25" customHeight="1">
      <c r="A392" s="157" t="s">
        <v>827</v>
      </c>
      <c r="B392" s="186">
        <v>26</v>
      </c>
      <c r="C392" s="188">
        <v>32</v>
      </c>
      <c r="D392" s="188">
        <v>1561</v>
      </c>
      <c r="E392" s="188">
        <v>1666</v>
      </c>
      <c r="F392" s="188">
        <v>396</v>
      </c>
      <c r="G392" s="188">
        <v>1463</v>
      </c>
      <c r="H392" s="188">
        <v>377</v>
      </c>
      <c r="I392" s="143"/>
    </row>
    <row r="393" spans="1:9" ht="14.25" customHeight="1">
      <c r="A393" s="157" t="s">
        <v>828</v>
      </c>
      <c r="B393" s="186">
        <v>22</v>
      </c>
      <c r="C393" s="188">
        <v>30</v>
      </c>
      <c r="D393" s="188">
        <v>1610</v>
      </c>
      <c r="E393" s="188">
        <v>2162</v>
      </c>
      <c r="F393" s="188">
        <v>184</v>
      </c>
      <c r="G393" s="188">
        <v>1507</v>
      </c>
      <c r="H393" s="188">
        <v>104</v>
      </c>
      <c r="I393" s="143"/>
    </row>
    <row r="394" spans="1:9" ht="14.25" customHeight="1">
      <c r="A394" s="157" t="s">
        <v>829</v>
      </c>
      <c r="B394" s="186">
        <v>11</v>
      </c>
      <c r="C394" s="188">
        <v>15</v>
      </c>
      <c r="D394" s="188">
        <v>691</v>
      </c>
      <c r="E394" s="188">
        <v>691</v>
      </c>
      <c r="F394" s="188">
        <v>99</v>
      </c>
      <c r="G394" s="188">
        <v>482</v>
      </c>
      <c r="H394" s="188">
        <v>93</v>
      </c>
      <c r="I394" s="143"/>
    </row>
    <row r="395" spans="1:9" ht="14.25" customHeight="1">
      <c r="A395" s="157" t="s">
        <v>830</v>
      </c>
      <c r="B395" s="186">
        <v>10</v>
      </c>
      <c r="C395" s="188">
        <v>17</v>
      </c>
      <c r="D395" s="188">
        <v>477</v>
      </c>
      <c r="E395" s="188">
        <v>659</v>
      </c>
      <c r="F395" s="188">
        <v>97</v>
      </c>
      <c r="G395" s="188">
        <v>545</v>
      </c>
      <c r="H395" s="188">
        <v>90</v>
      </c>
      <c r="I395" s="143"/>
    </row>
    <row r="396" spans="1:9" ht="14.25" customHeight="1">
      <c r="A396" s="157" t="s">
        <v>831</v>
      </c>
      <c r="B396" s="186">
        <v>10</v>
      </c>
      <c r="C396" s="188">
        <v>14</v>
      </c>
      <c r="D396" s="188">
        <v>255</v>
      </c>
      <c r="E396" s="188">
        <v>482</v>
      </c>
      <c r="F396" s="188">
        <v>84</v>
      </c>
      <c r="G396" s="188">
        <v>418</v>
      </c>
      <c r="H396" s="188">
        <v>82</v>
      </c>
      <c r="I396" s="143"/>
    </row>
    <row r="397" spans="1:9" ht="14.25" customHeight="1">
      <c r="A397" s="157" t="s">
        <v>832</v>
      </c>
      <c r="B397" s="186">
        <v>28</v>
      </c>
      <c r="C397" s="188">
        <v>38</v>
      </c>
      <c r="D397" s="188">
        <v>1395</v>
      </c>
      <c r="E397" s="188">
        <v>1957</v>
      </c>
      <c r="F397" s="188">
        <v>663</v>
      </c>
      <c r="G397" s="188">
        <v>1415</v>
      </c>
      <c r="H397" s="188">
        <v>539</v>
      </c>
      <c r="I397" s="143"/>
    </row>
    <row r="398" spans="1:9" ht="14.25" customHeight="1">
      <c r="A398" s="157" t="s">
        <v>833</v>
      </c>
      <c r="B398" s="186">
        <v>20</v>
      </c>
      <c r="C398" s="188">
        <v>41</v>
      </c>
      <c r="D398" s="188">
        <v>1568</v>
      </c>
      <c r="E398" s="188">
        <v>1810</v>
      </c>
      <c r="F398" s="188">
        <v>424</v>
      </c>
      <c r="G398" s="188">
        <v>1547</v>
      </c>
      <c r="H398" s="188">
        <v>416</v>
      </c>
      <c r="I398" s="143"/>
    </row>
    <row r="399" spans="1:9" ht="14.25" customHeight="1">
      <c r="A399" s="157" t="s">
        <v>834</v>
      </c>
      <c r="B399" s="186">
        <v>18</v>
      </c>
      <c r="C399" s="188">
        <v>32</v>
      </c>
      <c r="D399" s="188">
        <v>635</v>
      </c>
      <c r="E399" s="188">
        <v>1134</v>
      </c>
      <c r="F399" s="188">
        <v>311</v>
      </c>
      <c r="G399" s="188">
        <v>862</v>
      </c>
      <c r="H399" s="188">
        <v>258</v>
      </c>
      <c r="I399" s="143"/>
    </row>
    <row r="400" spans="1:9" ht="14.25" customHeight="1">
      <c r="A400" s="255" t="s">
        <v>835</v>
      </c>
      <c r="B400" s="186">
        <v>555</v>
      </c>
      <c r="C400" s="188">
        <v>886</v>
      </c>
      <c r="D400" s="188">
        <v>35483</v>
      </c>
      <c r="E400" s="188">
        <v>38981</v>
      </c>
      <c r="F400" s="188">
        <v>10233</v>
      </c>
      <c r="G400" s="188">
        <v>28530</v>
      </c>
      <c r="H400" s="188">
        <v>8128</v>
      </c>
      <c r="I400" s="143"/>
    </row>
    <row r="401" spans="1:9" ht="14.25" customHeight="1">
      <c r="A401" s="157" t="s">
        <v>836</v>
      </c>
      <c r="B401" s="186">
        <v>555</v>
      </c>
      <c r="C401" s="188">
        <v>886</v>
      </c>
      <c r="D401" s="188">
        <v>35483</v>
      </c>
      <c r="E401" s="188">
        <v>38981</v>
      </c>
      <c r="F401" s="188">
        <v>10233</v>
      </c>
      <c r="G401" s="188">
        <v>28530</v>
      </c>
      <c r="H401" s="188">
        <v>8128</v>
      </c>
      <c r="I401" s="143"/>
    </row>
    <row r="402" spans="1:9" ht="14.25" customHeight="1">
      <c r="A402" s="157" t="s">
        <v>837</v>
      </c>
      <c r="B402" s="186">
        <v>205</v>
      </c>
      <c r="C402" s="188">
        <v>345</v>
      </c>
      <c r="D402" s="188">
        <v>12284</v>
      </c>
      <c r="E402" s="188">
        <v>13946</v>
      </c>
      <c r="F402" s="188">
        <v>3588</v>
      </c>
      <c r="G402" s="188">
        <v>10393</v>
      </c>
      <c r="H402" s="188">
        <v>2969</v>
      </c>
      <c r="I402" s="143"/>
    </row>
    <row r="403" spans="1:9" ht="14.25" customHeight="1">
      <c r="A403" s="157" t="s">
        <v>838</v>
      </c>
      <c r="B403" s="186">
        <v>8</v>
      </c>
      <c r="C403" s="188">
        <v>14</v>
      </c>
      <c r="D403" s="188">
        <v>178</v>
      </c>
      <c r="E403" s="188">
        <v>327</v>
      </c>
      <c r="F403" s="188">
        <v>83</v>
      </c>
      <c r="G403" s="188">
        <v>192</v>
      </c>
      <c r="H403" s="188">
        <v>65</v>
      </c>
      <c r="I403" s="143"/>
    </row>
    <row r="404" spans="1:9" ht="14.25" customHeight="1">
      <c r="A404" s="157" t="s">
        <v>839</v>
      </c>
      <c r="B404" s="186">
        <v>26</v>
      </c>
      <c r="C404" s="188">
        <v>55</v>
      </c>
      <c r="D404" s="188">
        <v>1287</v>
      </c>
      <c r="E404" s="188">
        <v>1399</v>
      </c>
      <c r="F404" s="188">
        <v>373</v>
      </c>
      <c r="G404" s="188">
        <v>1071</v>
      </c>
      <c r="H404" s="188">
        <v>309</v>
      </c>
      <c r="I404" s="143"/>
    </row>
    <row r="405" spans="1:9" ht="14.25" customHeight="1">
      <c r="A405" s="157" t="s">
        <v>840</v>
      </c>
      <c r="B405" s="186">
        <v>26</v>
      </c>
      <c r="C405" s="188">
        <v>37</v>
      </c>
      <c r="D405" s="188">
        <v>1430</v>
      </c>
      <c r="E405" s="188">
        <v>1535</v>
      </c>
      <c r="F405" s="188">
        <v>568</v>
      </c>
      <c r="G405" s="188">
        <v>1111</v>
      </c>
      <c r="H405" s="188">
        <v>496</v>
      </c>
      <c r="I405" s="143"/>
    </row>
    <row r="406" spans="1:9" ht="14.25" customHeight="1">
      <c r="A406" s="157" t="s">
        <v>841</v>
      </c>
      <c r="B406" s="186">
        <v>41</v>
      </c>
      <c r="C406" s="188">
        <v>78</v>
      </c>
      <c r="D406" s="188">
        <v>2596</v>
      </c>
      <c r="E406" s="188">
        <v>2721</v>
      </c>
      <c r="F406" s="188">
        <v>546</v>
      </c>
      <c r="G406" s="188">
        <v>2012</v>
      </c>
      <c r="H406" s="188">
        <v>414</v>
      </c>
      <c r="I406" s="143"/>
    </row>
    <row r="407" spans="1:9" ht="14.25" customHeight="1">
      <c r="A407" s="157" t="s">
        <v>842</v>
      </c>
      <c r="B407" s="186">
        <v>18</v>
      </c>
      <c r="C407" s="188">
        <v>27</v>
      </c>
      <c r="D407" s="188">
        <v>1102</v>
      </c>
      <c r="E407" s="188">
        <v>1017</v>
      </c>
      <c r="F407" s="188">
        <v>246</v>
      </c>
      <c r="G407" s="188">
        <v>779</v>
      </c>
      <c r="H407" s="188">
        <v>224</v>
      </c>
      <c r="I407" s="143"/>
    </row>
    <row r="408" spans="1:9" ht="14.25" customHeight="1">
      <c r="A408" s="157" t="s">
        <v>843</v>
      </c>
      <c r="B408" s="186">
        <v>42</v>
      </c>
      <c r="C408" s="188">
        <v>54</v>
      </c>
      <c r="D408" s="188">
        <v>2700</v>
      </c>
      <c r="E408" s="188">
        <v>2917</v>
      </c>
      <c r="F408" s="188">
        <v>494</v>
      </c>
      <c r="G408" s="188">
        <v>1897</v>
      </c>
      <c r="H408" s="188">
        <v>425</v>
      </c>
      <c r="I408" s="143"/>
    </row>
    <row r="409" spans="1:9" ht="14.25" customHeight="1">
      <c r="A409" s="157" t="s">
        <v>844</v>
      </c>
      <c r="B409" s="186">
        <v>44</v>
      </c>
      <c r="C409" s="188">
        <v>80</v>
      </c>
      <c r="D409" s="188">
        <v>2991</v>
      </c>
      <c r="E409" s="188">
        <v>4030</v>
      </c>
      <c r="F409" s="188">
        <v>1278</v>
      </c>
      <c r="G409" s="188">
        <v>3331</v>
      </c>
      <c r="H409" s="188">
        <v>1036</v>
      </c>
      <c r="I409" s="143"/>
    </row>
    <row r="410" spans="1:9" ht="14.25" customHeight="1">
      <c r="A410" s="157" t="s">
        <v>845</v>
      </c>
      <c r="B410" s="186">
        <v>118</v>
      </c>
      <c r="C410" s="188">
        <v>185</v>
      </c>
      <c r="D410" s="188">
        <v>6909</v>
      </c>
      <c r="E410" s="188">
        <v>7581</v>
      </c>
      <c r="F410" s="188">
        <v>2341</v>
      </c>
      <c r="G410" s="188">
        <v>5870</v>
      </c>
      <c r="H410" s="188">
        <v>1925</v>
      </c>
      <c r="I410" s="143"/>
    </row>
    <row r="411" spans="1:9" ht="14.25" customHeight="1">
      <c r="A411" s="157" t="s">
        <v>846</v>
      </c>
      <c r="B411" s="186">
        <v>35</v>
      </c>
      <c r="C411" s="188">
        <v>49</v>
      </c>
      <c r="D411" s="188">
        <v>2639</v>
      </c>
      <c r="E411" s="188">
        <v>2775</v>
      </c>
      <c r="F411" s="188">
        <v>833</v>
      </c>
      <c r="G411" s="188">
        <v>2210</v>
      </c>
      <c r="H411" s="188">
        <v>680</v>
      </c>
      <c r="I411" s="143"/>
    </row>
    <row r="412" spans="1:9" ht="14.25" customHeight="1">
      <c r="A412" s="157" t="s">
        <v>847</v>
      </c>
      <c r="B412" s="186">
        <v>32</v>
      </c>
      <c r="C412" s="188">
        <v>46</v>
      </c>
      <c r="D412" s="188">
        <v>1499</v>
      </c>
      <c r="E412" s="188">
        <v>1536</v>
      </c>
      <c r="F412" s="188">
        <v>544</v>
      </c>
      <c r="G412" s="188">
        <v>1101</v>
      </c>
      <c r="H412" s="188">
        <v>446</v>
      </c>
      <c r="I412" s="143"/>
    </row>
    <row r="413" spans="1:9" ht="14.25" customHeight="1">
      <c r="A413" s="157" t="s">
        <v>848</v>
      </c>
      <c r="B413" s="186">
        <v>12</v>
      </c>
      <c r="C413" s="188">
        <v>27</v>
      </c>
      <c r="D413" s="188">
        <v>411</v>
      </c>
      <c r="E413" s="188">
        <v>629</v>
      </c>
      <c r="F413" s="188">
        <v>187</v>
      </c>
      <c r="G413" s="188">
        <v>483</v>
      </c>
      <c r="H413" s="188">
        <v>158</v>
      </c>
      <c r="I413" s="143"/>
    </row>
    <row r="414" spans="1:9" ht="14.25" customHeight="1">
      <c r="A414" s="157" t="s">
        <v>849</v>
      </c>
      <c r="B414" s="186">
        <v>20</v>
      </c>
      <c r="C414" s="188">
        <v>35</v>
      </c>
      <c r="D414" s="188">
        <v>1319</v>
      </c>
      <c r="E414" s="188">
        <v>1418</v>
      </c>
      <c r="F414" s="188">
        <v>385</v>
      </c>
      <c r="G414" s="188">
        <v>1117</v>
      </c>
      <c r="H414" s="188">
        <v>299</v>
      </c>
      <c r="I414" s="143"/>
    </row>
    <row r="415" spans="1:9" ht="14.25" customHeight="1">
      <c r="A415" s="157" t="s">
        <v>850</v>
      </c>
      <c r="B415" s="186">
        <v>10</v>
      </c>
      <c r="C415" s="188">
        <v>12</v>
      </c>
      <c r="D415" s="188">
        <v>754</v>
      </c>
      <c r="E415" s="188">
        <v>689</v>
      </c>
      <c r="F415" s="188">
        <v>245</v>
      </c>
      <c r="G415" s="188">
        <v>594</v>
      </c>
      <c r="H415" s="188">
        <v>222</v>
      </c>
      <c r="I415" s="143"/>
    </row>
    <row r="416" spans="1:9" ht="14.25" customHeight="1">
      <c r="A416" s="157" t="s">
        <v>851</v>
      </c>
      <c r="B416" s="186">
        <v>9</v>
      </c>
      <c r="C416" s="188">
        <v>16</v>
      </c>
      <c r="D416" s="188">
        <v>287</v>
      </c>
      <c r="E416" s="188">
        <v>534</v>
      </c>
      <c r="F416" s="188">
        <v>147</v>
      </c>
      <c r="G416" s="188">
        <v>365</v>
      </c>
      <c r="H416" s="188">
        <v>120</v>
      </c>
      <c r="I416" s="143"/>
    </row>
    <row r="417" spans="1:9" ht="14.25" customHeight="1">
      <c r="A417" s="157" t="s">
        <v>852</v>
      </c>
      <c r="B417" s="186">
        <v>232</v>
      </c>
      <c r="C417" s="188">
        <v>356</v>
      </c>
      <c r="D417" s="188">
        <v>16290</v>
      </c>
      <c r="E417" s="188">
        <v>17454</v>
      </c>
      <c r="F417" s="188">
        <v>4304</v>
      </c>
      <c r="G417" s="188">
        <v>12267</v>
      </c>
      <c r="H417" s="188">
        <v>3234</v>
      </c>
      <c r="I417" s="143"/>
    </row>
    <row r="418" spans="1:9" ht="14.25" customHeight="1">
      <c r="A418" s="157" t="s">
        <v>853</v>
      </c>
      <c r="B418" s="186">
        <v>16</v>
      </c>
      <c r="C418" s="188">
        <v>29</v>
      </c>
      <c r="D418" s="188">
        <v>957</v>
      </c>
      <c r="E418" s="188">
        <v>1188</v>
      </c>
      <c r="F418" s="188">
        <v>287</v>
      </c>
      <c r="G418" s="188">
        <v>939</v>
      </c>
      <c r="H418" s="188">
        <v>273</v>
      </c>
      <c r="I418" s="143"/>
    </row>
    <row r="419" spans="1:9" ht="14.25" customHeight="1">
      <c r="A419" s="157" t="s">
        <v>854</v>
      </c>
      <c r="B419" s="186">
        <v>19</v>
      </c>
      <c r="C419" s="188">
        <v>28</v>
      </c>
      <c r="D419" s="188">
        <v>1150</v>
      </c>
      <c r="E419" s="188">
        <v>1160</v>
      </c>
      <c r="F419" s="188">
        <v>231</v>
      </c>
      <c r="G419" s="188">
        <v>646</v>
      </c>
      <c r="H419" s="188">
        <v>141</v>
      </c>
      <c r="I419" s="143"/>
    </row>
    <row r="420" spans="1:9" ht="14.25" customHeight="1">
      <c r="A420" s="157" t="s">
        <v>855</v>
      </c>
      <c r="B420" s="186">
        <v>17</v>
      </c>
      <c r="C420" s="188">
        <v>27</v>
      </c>
      <c r="D420" s="188">
        <v>805</v>
      </c>
      <c r="E420" s="188">
        <v>829</v>
      </c>
      <c r="F420" s="188">
        <v>133</v>
      </c>
      <c r="G420" s="188">
        <v>575</v>
      </c>
      <c r="H420" s="188">
        <v>95</v>
      </c>
      <c r="I420" s="143"/>
    </row>
    <row r="421" spans="1:9" ht="14.25" customHeight="1">
      <c r="A421" s="157" t="s">
        <v>856</v>
      </c>
      <c r="B421" s="186">
        <v>20</v>
      </c>
      <c r="C421" s="188">
        <v>34</v>
      </c>
      <c r="D421" s="188">
        <v>1177</v>
      </c>
      <c r="E421" s="188">
        <v>1606</v>
      </c>
      <c r="F421" s="188">
        <v>406</v>
      </c>
      <c r="G421" s="188">
        <v>1057</v>
      </c>
      <c r="H421" s="188">
        <v>302</v>
      </c>
      <c r="I421" s="143"/>
    </row>
    <row r="422" spans="1:9" ht="14.25" customHeight="1">
      <c r="A422" s="157" t="s">
        <v>857</v>
      </c>
      <c r="B422" s="186">
        <v>12</v>
      </c>
      <c r="C422" s="188">
        <v>18</v>
      </c>
      <c r="D422" s="188">
        <v>700</v>
      </c>
      <c r="E422" s="188">
        <v>700</v>
      </c>
      <c r="F422" s="188">
        <v>163</v>
      </c>
      <c r="G422" s="188">
        <v>550</v>
      </c>
      <c r="H422" s="188">
        <v>112</v>
      </c>
      <c r="I422" s="143"/>
    </row>
    <row r="423" spans="1:9" ht="14.25" customHeight="1">
      <c r="A423" s="157" t="s">
        <v>858</v>
      </c>
      <c r="B423" s="186">
        <v>52</v>
      </c>
      <c r="C423" s="188">
        <v>71</v>
      </c>
      <c r="D423" s="188">
        <v>2927</v>
      </c>
      <c r="E423" s="188">
        <v>3486</v>
      </c>
      <c r="F423" s="188">
        <v>706</v>
      </c>
      <c r="G423" s="188">
        <v>2262</v>
      </c>
      <c r="H423" s="188">
        <v>462</v>
      </c>
      <c r="I423" s="143"/>
    </row>
    <row r="424" spans="1:9" ht="14.25" customHeight="1">
      <c r="A424" s="157" t="s">
        <v>859</v>
      </c>
      <c r="B424" s="186">
        <v>24</v>
      </c>
      <c r="C424" s="188">
        <v>33</v>
      </c>
      <c r="D424" s="188">
        <v>2083</v>
      </c>
      <c r="E424" s="188">
        <v>2030</v>
      </c>
      <c r="F424" s="188">
        <v>472</v>
      </c>
      <c r="G424" s="188">
        <v>1506</v>
      </c>
      <c r="H424" s="188">
        <v>409</v>
      </c>
      <c r="I424" s="143"/>
    </row>
    <row r="425" spans="1:9" ht="14.25" customHeight="1">
      <c r="A425" s="157" t="s">
        <v>860</v>
      </c>
      <c r="B425" s="186">
        <v>72</v>
      </c>
      <c r="C425" s="188">
        <v>116</v>
      </c>
      <c r="D425" s="188">
        <v>6491</v>
      </c>
      <c r="E425" s="188">
        <v>6455</v>
      </c>
      <c r="F425" s="188">
        <v>1906</v>
      </c>
      <c r="G425" s="188">
        <v>4732</v>
      </c>
      <c r="H425" s="188">
        <v>1440</v>
      </c>
      <c r="I425" s="143"/>
    </row>
    <row r="426" spans="1:9" ht="14.25" customHeight="1">
      <c r="A426" s="255" t="s">
        <v>861</v>
      </c>
      <c r="B426" s="186">
        <v>1651</v>
      </c>
      <c r="C426" s="188">
        <v>2445</v>
      </c>
      <c r="D426" s="188">
        <v>126751</v>
      </c>
      <c r="E426" s="188">
        <v>133958</v>
      </c>
      <c r="F426" s="188">
        <v>37047</v>
      </c>
      <c r="G426" s="188">
        <v>95595</v>
      </c>
      <c r="H426" s="188">
        <v>29103</v>
      </c>
      <c r="I426" s="143"/>
    </row>
    <row r="427" spans="1:9" ht="14.25" customHeight="1">
      <c r="A427" s="157" t="s">
        <v>862</v>
      </c>
      <c r="B427" s="186">
        <v>1651</v>
      </c>
      <c r="C427" s="188">
        <v>2445</v>
      </c>
      <c r="D427" s="188">
        <v>126751</v>
      </c>
      <c r="E427" s="188">
        <v>133958</v>
      </c>
      <c r="F427" s="188">
        <v>37047</v>
      </c>
      <c r="G427" s="188">
        <v>95595</v>
      </c>
      <c r="H427" s="188">
        <v>29103</v>
      </c>
      <c r="I427" s="143"/>
    </row>
    <row r="428" spans="1:9" ht="14.25" customHeight="1">
      <c r="A428" s="157" t="s">
        <v>863</v>
      </c>
      <c r="B428" s="186">
        <v>318</v>
      </c>
      <c r="C428" s="188">
        <v>468</v>
      </c>
      <c r="D428" s="188">
        <v>21393</v>
      </c>
      <c r="E428" s="188">
        <v>22483</v>
      </c>
      <c r="F428" s="188">
        <v>5719</v>
      </c>
      <c r="G428" s="188">
        <v>16676</v>
      </c>
      <c r="H428" s="188">
        <v>4946</v>
      </c>
      <c r="I428" s="143"/>
    </row>
    <row r="429" spans="1:9" ht="14.25" customHeight="1">
      <c r="A429" s="157" t="s">
        <v>864</v>
      </c>
      <c r="B429" s="186">
        <v>32</v>
      </c>
      <c r="C429" s="188">
        <v>47</v>
      </c>
      <c r="D429" s="188">
        <v>2446</v>
      </c>
      <c r="E429" s="188">
        <v>2862</v>
      </c>
      <c r="F429" s="188">
        <v>849</v>
      </c>
      <c r="G429" s="188">
        <v>2446</v>
      </c>
      <c r="H429" s="188">
        <v>787</v>
      </c>
      <c r="I429" s="143"/>
    </row>
    <row r="430" spans="1:9" ht="14.25" customHeight="1">
      <c r="A430" s="157" t="s">
        <v>865</v>
      </c>
      <c r="B430" s="186">
        <v>37</v>
      </c>
      <c r="C430" s="188">
        <v>59</v>
      </c>
      <c r="D430" s="188">
        <v>1655</v>
      </c>
      <c r="E430" s="188">
        <v>2015</v>
      </c>
      <c r="F430" s="188">
        <v>281</v>
      </c>
      <c r="G430" s="188">
        <v>1475</v>
      </c>
      <c r="H430" s="188">
        <v>258</v>
      </c>
      <c r="I430" s="143"/>
    </row>
    <row r="431" spans="1:9" ht="14.25" customHeight="1">
      <c r="A431" s="157" t="s">
        <v>866</v>
      </c>
      <c r="B431" s="186">
        <v>31</v>
      </c>
      <c r="C431" s="188">
        <v>40</v>
      </c>
      <c r="D431" s="188">
        <v>1798</v>
      </c>
      <c r="E431" s="188">
        <v>1849</v>
      </c>
      <c r="F431" s="188">
        <v>393</v>
      </c>
      <c r="G431" s="188">
        <v>1285</v>
      </c>
      <c r="H431" s="188">
        <v>307</v>
      </c>
      <c r="I431" s="143"/>
    </row>
    <row r="432" spans="1:9" ht="14.25" customHeight="1">
      <c r="A432" s="157" t="s">
        <v>867</v>
      </c>
      <c r="B432" s="186">
        <v>38</v>
      </c>
      <c r="C432" s="188">
        <v>55</v>
      </c>
      <c r="D432" s="188">
        <v>2031</v>
      </c>
      <c r="E432" s="188">
        <v>2006</v>
      </c>
      <c r="F432" s="188">
        <v>576</v>
      </c>
      <c r="G432" s="188">
        <v>1609</v>
      </c>
      <c r="H432" s="188">
        <v>539</v>
      </c>
      <c r="I432" s="143"/>
    </row>
    <row r="433" spans="1:9" ht="14.25" customHeight="1">
      <c r="A433" s="157" t="s">
        <v>651</v>
      </c>
      <c r="B433" s="186">
        <v>78</v>
      </c>
      <c r="C433" s="188">
        <v>119</v>
      </c>
      <c r="D433" s="188">
        <v>4373</v>
      </c>
      <c r="E433" s="188">
        <v>4370</v>
      </c>
      <c r="F433" s="188">
        <v>1069</v>
      </c>
      <c r="G433" s="188">
        <v>3151</v>
      </c>
      <c r="H433" s="188">
        <v>900</v>
      </c>
      <c r="I433" s="143"/>
    </row>
    <row r="434" spans="1:9" ht="14.25" customHeight="1">
      <c r="A434" s="157" t="s">
        <v>868</v>
      </c>
      <c r="B434" s="186">
        <v>32</v>
      </c>
      <c r="C434" s="188">
        <v>44</v>
      </c>
      <c r="D434" s="188">
        <v>1496</v>
      </c>
      <c r="E434" s="188">
        <v>1805</v>
      </c>
      <c r="F434" s="188">
        <v>441</v>
      </c>
      <c r="G434" s="188">
        <v>1505</v>
      </c>
      <c r="H434" s="188">
        <v>382</v>
      </c>
      <c r="I434" s="143"/>
    </row>
    <row r="435" spans="1:9" ht="14.25" customHeight="1">
      <c r="A435" s="157" t="s">
        <v>869</v>
      </c>
      <c r="B435" s="186">
        <v>25</v>
      </c>
      <c r="C435" s="188">
        <v>37</v>
      </c>
      <c r="D435" s="188">
        <v>2072</v>
      </c>
      <c r="E435" s="188">
        <v>1937</v>
      </c>
      <c r="F435" s="188">
        <v>385</v>
      </c>
      <c r="G435" s="188">
        <v>1321</v>
      </c>
      <c r="H435" s="188">
        <v>347</v>
      </c>
      <c r="I435" s="143"/>
    </row>
    <row r="436" spans="1:9" ht="14.25" customHeight="1">
      <c r="A436" s="157" t="s">
        <v>870</v>
      </c>
      <c r="B436" s="186">
        <v>45</v>
      </c>
      <c r="C436" s="188">
        <v>67</v>
      </c>
      <c r="D436" s="188">
        <v>5522</v>
      </c>
      <c r="E436" s="188">
        <v>5639</v>
      </c>
      <c r="F436" s="188">
        <v>1725</v>
      </c>
      <c r="G436" s="188">
        <v>3884</v>
      </c>
      <c r="H436" s="188">
        <v>1426</v>
      </c>
      <c r="I436" s="143"/>
    </row>
    <row r="437" spans="1:9" ht="14.25" customHeight="1">
      <c r="A437" s="157" t="s">
        <v>871</v>
      </c>
      <c r="B437" s="186">
        <v>283</v>
      </c>
      <c r="C437" s="188">
        <v>423</v>
      </c>
      <c r="D437" s="188">
        <v>20344</v>
      </c>
      <c r="E437" s="188">
        <v>21391</v>
      </c>
      <c r="F437" s="188">
        <v>5778</v>
      </c>
      <c r="G437" s="188">
        <v>15793</v>
      </c>
      <c r="H437" s="188">
        <v>4451</v>
      </c>
      <c r="I437" s="143"/>
    </row>
    <row r="438" spans="1:9" ht="14.25" customHeight="1">
      <c r="A438" s="157" t="s">
        <v>872</v>
      </c>
      <c r="B438" s="186">
        <v>69</v>
      </c>
      <c r="C438" s="188">
        <v>97</v>
      </c>
      <c r="D438" s="188">
        <v>6182</v>
      </c>
      <c r="E438" s="188">
        <v>5669</v>
      </c>
      <c r="F438" s="188">
        <v>1537</v>
      </c>
      <c r="G438" s="188">
        <v>3687</v>
      </c>
      <c r="H438" s="188">
        <v>974</v>
      </c>
      <c r="I438" s="143"/>
    </row>
    <row r="439" spans="1:9" ht="14.25" customHeight="1">
      <c r="A439" s="157" t="s">
        <v>873</v>
      </c>
      <c r="B439" s="186">
        <v>31</v>
      </c>
      <c r="C439" s="188">
        <v>43</v>
      </c>
      <c r="D439" s="188">
        <v>2053</v>
      </c>
      <c r="E439" s="188">
        <v>2165</v>
      </c>
      <c r="F439" s="188">
        <v>454</v>
      </c>
      <c r="G439" s="188">
        <v>1758</v>
      </c>
      <c r="H439" s="188">
        <v>408</v>
      </c>
      <c r="I439" s="143"/>
    </row>
    <row r="440" spans="1:9" ht="14.25" customHeight="1">
      <c r="A440" s="157" t="s">
        <v>874</v>
      </c>
      <c r="B440" s="186">
        <v>47</v>
      </c>
      <c r="C440" s="188">
        <v>93</v>
      </c>
      <c r="D440" s="188">
        <v>3386</v>
      </c>
      <c r="E440" s="188">
        <v>3512</v>
      </c>
      <c r="F440" s="188">
        <v>723</v>
      </c>
      <c r="G440" s="188">
        <v>2624</v>
      </c>
      <c r="H440" s="188">
        <v>629</v>
      </c>
      <c r="I440" s="143"/>
    </row>
    <row r="441" spans="1:9" ht="14.25" customHeight="1">
      <c r="A441" s="157" t="s">
        <v>875</v>
      </c>
      <c r="B441" s="186">
        <v>24</v>
      </c>
      <c r="C441" s="188">
        <v>39</v>
      </c>
      <c r="D441" s="188">
        <v>1054</v>
      </c>
      <c r="E441" s="188">
        <v>1465</v>
      </c>
      <c r="F441" s="188">
        <v>341</v>
      </c>
      <c r="G441" s="188">
        <v>1230</v>
      </c>
      <c r="H441" s="188">
        <v>308</v>
      </c>
      <c r="I441" s="143"/>
    </row>
    <row r="442" spans="1:9" ht="14.25" customHeight="1">
      <c r="A442" s="157" t="s">
        <v>876</v>
      </c>
      <c r="B442" s="186">
        <v>33</v>
      </c>
      <c r="C442" s="188">
        <v>51</v>
      </c>
      <c r="D442" s="188">
        <v>2105</v>
      </c>
      <c r="E442" s="188">
        <v>2251</v>
      </c>
      <c r="F442" s="188">
        <v>677</v>
      </c>
      <c r="G442" s="188">
        <v>1669</v>
      </c>
      <c r="H442" s="188">
        <v>486</v>
      </c>
      <c r="I442" s="143"/>
    </row>
    <row r="443" spans="1:9" ht="14.25" customHeight="1">
      <c r="A443" s="157" t="s">
        <v>877</v>
      </c>
      <c r="B443" s="186">
        <v>38</v>
      </c>
      <c r="C443" s="188">
        <v>45</v>
      </c>
      <c r="D443" s="188">
        <v>1918</v>
      </c>
      <c r="E443" s="188">
        <v>2753</v>
      </c>
      <c r="F443" s="188">
        <v>762</v>
      </c>
      <c r="G443" s="188">
        <v>2284</v>
      </c>
      <c r="H443" s="188">
        <v>703</v>
      </c>
      <c r="I443" s="143"/>
    </row>
    <row r="444" spans="1:9" ht="14.25" customHeight="1">
      <c r="A444" s="157" t="s">
        <v>878</v>
      </c>
      <c r="B444" s="186">
        <v>41</v>
      </c>
      <c r="C444" s="188">
        <v>55</v>
      </c>
      <c r="D444" s="188">
        <v>3646</v>
      </c>
      <c r="E444" s="188">
        <v>3576</v>
      </c>
      <c r="F444" s="188">
        <v>1284</v>
      </c>
      <c r="G444" s="188">
        <v>2541</v>
      </c>
      <c r="H444" s="188">
        <v>943</v>
      </c>
      <c r="I444" s="143"/>
    </row>
    <row r="445" spans="1:9" ht="14.25" customHeight="1">
      <c r="A445" s="157" t="s">
        <v>879</v>
      </c>
      <c r="B445" s="186">
        <v>327</v>
      </c>
      <c r="C445" s="188">
        <v>488</v>
      </c>
      <c r="D445" s="188">
        <v>22337</v>
      </c>
      <c r="E445" s="188">
        <v>23565</v>
      </c>
      <c r="F445" s="188">
        <v>6538</v>
      </c>
      <c r="G445" s="188">
        <v>16912</v>
      </c>
      <c r="H445" s="188">
        <v>5396</v>
      </c>
      <c r="I445" s="143"/>
    </row>
    <row r="446" spans="1:9" ht="14.25" customHeight="1">
      <c r="A446" s="157" t="s">
        <v>880</v>
      </c>
      <c r="B446" s="186">
        <v>36</v>
      </c>
      <c r="C446" s="188">
        <v>73</v>
      </c>
      <c r="D446" s="188">
        <v>2836</v>
      </c>
      <c r="E446" s="188">
        <v>3160</v>
      </c>
      <c r="F446" s="188">
        <v>822</v>
      </c>
      <c r="G446" s="188">
        <v>2461</v>
      </c>
      <c r="H446" s="188">
        <v>707</v>
      </c>
      <c r="I446" s="143"/>
    </row>
    <row r="447" spans="1:9" ht="14.25" customHeight="1">
      <c r="A447" s="157" t="s">
        <v>636</v>
      </c>
      <c r="B447" s="186">
        <v>20</v>
      </c>
      <c r="C447" s="188">
        <v>22</v>
      </c>
      <c r="D447" s="188">
        <v>1066</v>
      </c>
      <c r="E447" s="188">
        <v>1196</v>
      </c>
      <c r="F447" s="188">
        <v>225</v>
      </c>
      <c r="G447" s="188">
        <v>922</v>
      </c>
      <c r="H447" s="188">
        <v>189</v>
      </c>
      <c r="I447" s="143"/>
    </row>
    <row r="448" spans="1:9" ht="14.25" customHeight="1">
      <c r="A448" s="157" t="s">
        <v>881</v>
      </c>
      <c r="B448" s="186">
        <v>45</v>
      </c>
      <c r="C448" s="188">
        <v>71</v>
      </c>
      <c r="D448" s="188">
        <v>3611</v>
      </c>
      <c r="E448" s="188">
        <v>3547</v>
      </c>
      <c r="F448" s="188">
        <v>1000</v>
      </c>
      <c r="G448" s="188">
        <v>2753</v>
      </c>
      <c r="H448" s="188">
        <v>863</v>
      </c>
      <c r="I448" s="143"/>
    </row>
    <row r="449" spans="1:9" ht="14.25" customHeight="1">
      <c r="A449" s="157" t="s">
        <v>882</v>
      </c>
      <c r="B449" s="186">
        <v>35</v>
      </c>
      <c r="C449" s="188">
        <v>47</v>
      </c>
      <c r="D449" s="188">
        <v>1730</v>
      </c>
      <c r="E449" s="188">
        <v>1905</v>
      </c>
      <c r="F449" s="188">
        <v>474</v>
      </c>
      <c r="G449" s="188">
        <v>1246</v>
      </c>
      <c r="H449" s="188">
        <v>297</v>
      </c>
      <c r="I449" s="143"/>
    </row>
    <row r="450" spans="1:9" ht="14.25" customHeight="1">
      <c r="A450" s="157" t="s">
        <v>883</v>
      </c>
      <c r="B450" s="186">
        <v>23</v>
      </c>
      <c r="C450" s="188">
        <v>35</v>
      </c>
      <c r="D450" s="188">
        <v>985</v>
      </c>
      <c r="E450" s="188">
        <v>976</v>
      </c>
      <c r="F450" s="188">
        <v>268</v>
      </c>
      <c r="G450" s="188">
        <v>519</v>
      </c>
      <c r="H450" s="188">
        <v>101</v>
      </c>
      <c r="I450" s="143"/>
    </row>
    <row r="451" spans="1:9" ht="14.25" customHeight="1">
      <c r="A451" s="157" t="s">
        <v>884</v>
      </c>
      <c r="B451" s="186">
        <v>51</v>
      </c>
      <c r="C451" s="188">
        <v>92</v>
      </c>
      <c r="D451" s="188">
        <v>2819</v>
      </c>
      <c r="E451" s="188">
        <v>3071</v>
      </c>
      <c r="F451" s="188">
        <v>1087</v>
      </c>
      <c r="G451" s="188">
        <v>2255</v>
      </c>
      <c r="H451" s="188">
        <v>959</v>
      </c>
      <c r="I451" s="143"/>
    </row>
    <row r="452" spans="1:9" ht="14.25" customHeight="1">
      <c r="A452" s="157" t="s">
        <v>885</v>
      </c>
      <c r="B452" s="186">
        <v>32</v>
      </c>
      <c r="C452" s="188">
        <v>39</v>
      </c>
      <c r="D452" s="188">
        <v>2103</v>
      </c>
      <c r="E452" s="188">
        <v>2431</v>
      </c>
      <c r="F452" s="188">
        <v>622</v>
      </c>
      <c r="G452" s="188">
        <v>1855</v>
      </c>
      <c r="H452" s="188">
        <v>565</v>
      </c>
      <c r="I452" s="143"/>
    </row>
    <row r="453" spans="1:9" ht="14.25" customHeight="1">
      <c r="A453" s="157" t="s">
        <v>886</v>
      </c>
      <c r="B453" s="186">
        <v>41</v>
      </c>
      <c r="C453" s="188">
        <v>49</v>
      </c>
      <c r="D453" s="188">
        <v>3159</v>
      </c>
      <c r="E453" s="188">
        <v>3396</v>
      </c>
      <c r="F453" s="188">
        <v>814</v>
      </c>
      <c r="G453" s="188">
        <v>2548</v>
      </c>
      <c r="H453" s="188">
        <v>690</v>
      </c>
      <c r="I453" s="143"/>
    </row>
    <row r="454" spans="1:9" ht="14.25" customHeight="1">
      <c r="A454" s="157" t="s">
        <v>887</v>
      </c>
      <c r="B454" s="186">
        <v>44</v>
      </c>
      <c r="C454" s="188">
        <v>60</v>
      </c>
      <c r="D454" s="188">
        <v>4028</v>
      </c>
      <c r="E454" s="188">
        <v>3883</v>
      </c>
      <c r="F454" s="188">
        <v>1226</v>
      </c>
      <c r="G454" s="188">
        <v>2353</v>
      </c>
      <c r="H454" s="188">
        <v>1025</v>
      </c>
      <c r="I454" s="143"/>
    </row>
    <row r="455" spans="1:9" ht="14.25" customHeight="1">
      <c r="A455" s="157" t="s">
        <v>888</v>
      </c>
      <c r="B455" s="186">
        <v>182</v>
      </c>
      <c r="C455" s="188">
        <v>261</v>
      </c>
      <c r="D455" s="188">
        <v>10731</v>
      </c>
      <c r="E455" s="188">
        <v>12461</v>
      </c>
      <c r="F455" s="188">
        <v>3073</v>
      </c>
      <c r="G455" s="188">
        <v>8400</v>
      </c>
      <c r="H455" s="188">
        <v>2424</v>
      </c>
      <c r="I455" s="143"/>
    </row>
    <row r="456" spans="1:9" ht="14.25" customHeight="1">
      <c r="A456" s="157" t="s">
        <v>889</v>
      </c>
      <c r="B456" s="186">
        <v>14</v>
      </c>
      <c r="C456" s="188">
        <v>17</v>
      </c>
      <c r="D456" s="188">
        <v>740</v>
      </c>
      <c r="E456" s="188">
        <v>823</v>
      </c>
      <c r="F456" s="188">
        <v>156</v>
      </c>
      <c r="G456" s="188">
        <v>566</v>
      </c>
      <c r="H456" s="188">
        <v>121</v>
      </c>
      <c r="I456" s="143"/>
    </row>
    <row r="457" spans="1:9" ht="14.25" customHeight="1">
      <c r="A457" s="157" t="s">
        <v>890</v>
      </c>
      <c r="B457" s="186">
        <v>47</v>
      </c>
      <c r="C457" s="188">
        <v>71</v>
      </c>
      <c r="D457" s="188">
        <v>2808</v>
      </c>
      <c r="E457" s="188">
        <v>3279</v>
      </c>
      <c r="F457" s="188">
        <v>886</v>
      </c>
      <c r="G457" s="188">
        <v>2152</v>
      </c>
      <c r="H457" s="188">
        <v>712</v>
      </c>
      <c r="I457" s="143"/>
    </row>
    <row r="458" spans="1:9" ht="14.25" customHeight="1">
      <c r="A458" s="157" t="s">
        <v>891</v>
      </c>
      <c r="B458" s="186">
        <v>74</v>
      </c>
      <c r="C458" s="188">
        <v>109</v>
      </c>
      <c r="D458" s="188">
        <v>4537</v>
      </c>
      <c r="E458" s="188">
        <v>5357</v>
      </c>
      <c r="F458" s="188">
        <v>1492</v>
      </c>
      <c r="G458" s="188">
        <v>3612</v>
      </c>
      <c r="H458" s="188">
        <v>1105</v>
      </c>
      <c r="I458" s="143"/>
    </row>
    <row r="459" spans="1:9" ht="14.25" customHeight="1">
      <c r="A459" s="157" t="s">
        <v>892</v>
      </c>
      <c r="B459" s="186">
        <v>21</v>
      </c>
      <c r="C459" s="188">
        <v>31</v>
      </c>
      <c r="D459" s="188">
        <v>1378</v>
      </c>
      <c r="E459" s="188">
        <v>1426</v>
      </c>
      <c r="F459" s="188">
        <v>197</v>
      </c>
      <c r="G459" s="188">
        <v>1037</v>
      </c>
      <c r="H459" s="188">
        <v>161</v>
      </c>
      <c r="I459" s="143"/>
    </row>
    <row r="460" spans="1:9" ht="14.25" customHeight="1">
      <c r="A460" s="157" t="s">
        <v>893</v>
      </c>
      <c r="B460" s="186">
        <v>26</v>
      </c>
      <c r="C460" s="188">
        <v>33</v>
      </c>
      <c r="D460" s="188">
        <v>1268</v>
      </c>
      <c r="E460" s="188">
        <v>1576</v>
      </c>
      <c r="F460" s="188">
        <v>342</v>
      </c>
      <c r="G460" s="188">
        <v>1033</v>
      </c>
      <c r="H460" s="188">
        <v>325</v>
      </c>
      <c r="I460" s="143"/>
    </row>
    <row r="461" spans="1:9" ht="14.25" customHeight="1">
      <c r="A461" s="157" t="s">
        <v>894</v>
      </c>
      <c r="B461" s="186">
        <v>342</v>
      </c>
      <c r="C461" s="188">
        <v>453</v>
      </c>
      <c r="D461" s="188">
        <v>27210</v>
      </c>
      <c r="E461" s="188">
        <v>29679</v>
      </c>
      <c r="F461" s="188">
        <v>7948</v>
      </c>
      <c r="G461" s="188">
        <v>22389</v>
      </c>
      <c r="H461" s="188">
        <v>6399</v>
      </c>
      <c r="I461" s="143"/>
    </row>
    <row r="462" spans="1:9" ht="14.25" customHeight="1">
      <c r="A462" s="157" t="s">
        <v>895</v>
      </c>
      <c r="B462" s="186">
        <v>29</v>
      </c>
      <c r="C462" s="188">
        <v>37</v>
      </c>
      <c r="D462" s="188">
        <v>1865</v>
      </c>
      <c r="E462" s="188">
        <v>1989</v>
      </c>
      <c r="F462" s="188">
        <v>767</v>
      </c>
      <c r="G462" s="188">
        <v>1338</v>
      </c>
      <c r="H462" s="188">
        <v>621</v>
      </c>
      <c r="I462" s="143"/>
    </row>
    <row r="463" spans="1:9" ht="14.25" customHeight="1">
      <c r="A463" s="157" t="s">
        <v>896</v>
      </c>
      <c r="B463" s="186">
        <v>202</v>
      </c>
      <c r="C463" s="188">
        <v>271</v>
      </c>
      <c r="D463" s="188">
        <v>15175</v>
      </c>
      <c r="E463" s="188">
        <v>17684</v>
      </c>
      <c r="F463" s="188">
        <v>4436</v>
      </c>
      <c r="G463" s="188">
        <v>13548</v>
      </c>
      <c r="H463" s="188">
        <v>3593</v>
      </c>
      <c r="I463" s="143"/>
    </row>
    <row r="464" spans="1:9" ht="14.25" customHeight="1">
      <c r="A464" s="157" t="s">
        <v>897</v>
      </c>
      <c r="B464" s="186">
        <v>57</v>
      </c>
      <c r="C464" s="188">
        <v>74</v>
      </c>
      <c r="D464" s="188">
        <v>4403</v>
      </c>
      <c r="E464" s="188">
        <v>4401</v>
      </c>
      <c r="F464" s="188">
        <v>1005</v>
      </c>
      <c r="G464" s="188">
        <v>2932</v>
      </c>
      <c r="H464" s="188">
        <v>808</v>
      </c>
      <c r="I464" s="143"/>
    </row>
    <row r="465" spans="1:9" ht="14.25" customHeight="1">
      <c r="A465" s="157" t="s">
        <v>483</v>
      </c>
      <c r="B465" s="186">
        <v>24</v>
      </c>
      <c r="C465" s="188">
        <v>33</v>
      </c>
      <c r="D465" s="188">
        <v>3008</v>
      </c>
      <c r="E465" s="188">
        <v>2760</v>
      </c>
      <c r="F465" s="188">
        <v>1036</v>
      </c>
      <c r="G465" s="188">
        <v>2113</v>
      </c>
      <c r="H465" s="188">
        <v>749</v>
      </c>
      <c r="I465" s="143"/>
    </row>
    <row r="466" spans="1:9" ht="14.25" customHeight="1">
      <c r="A466" s="157" t="s">
        <v>898</v>
      </c>
      <c r="B466" s="186">
        <v>30</v>
      </c>
      <c r="C466" s="188">
        <v>38</v>
      </c>
      <c r="D466" s="188">
        <v>2759</v>
      </c>
      <c r="E466" s="188">
        <v>2845</v>
      </c>
      <c r="F466" s="188">
        <v>704</v>
      </c>
      <c r="G466" s="188">
        <v>2458</v>
      </c>
      <c r="H466" s="188">
        <v>628</v>
      </c>
      <c r="I466" s="143"/>
    </row>
    <row r="467" spans="1:9" ht="14.25" customHeight="1">
      <c r="A467" s="157" t="s">
        <v>899</v>
      </c>
      <c r="B467" s="186">
        <v>199</v>
      </c>
      <c r="C467" s="188">
        <v>352</v>
      </c>
      <c r="D467" s="188">
        <v>24736</v>
      </c>
      <c r="E467" s="188">
        <v>24379</v>
      </c>
      <c r="F467" s="188">
        <v>7991</v>
      </c>
      <c r="G467" s="188">
        <v>15425</v>
      </c>
      <c r="H467" s="188">
        <v>5487</v>
      </c>
      <c r="I467" s="143"/>
    </row>
    <row r="468" spans="1:9" ht="14.25" customHeight="1">
      <c r="A468" s="157" t="s">
        <v>900</v>
      </c>
      <c r="B468" s="186">
        <v>199</v>
      </c>
      <c r="C468" s="188">
        <v>352</v>
      </c>
      <c r="D468" s="188">
        <v>24736</v>
      </c>
      <c r="E468" s="188">
        <v>24379</v>
      </c>
      <c r="F468" s="188">
        <v>7991</v>
      </c>
      <c r="G468" s="188">
        <v>15425</v>
      </c>
      <c r="H468" s="188">
        <v>5487</v>
      </c>
      <c r="I468" s="143"/>
    </row>
    <row r="469" spans="1:9" ht="14.25" customHeight="1">
      <c r="A469" s="255" t="s">
        <v>901</v>
      </c>
      <c r="B469" s="186">
        <v>970</v>
      </c>
      <c r="C469" s="188">
        <v>1397</v>
      </c>
      <c r="D469" s="188">
        <v>76141</v>
      </c>
      <c r="E469" s="188">
        <v>73878</v>
      </c>
      <c r="F469" s="188">
        <v>20569</v>
      </c>
      <c r="G469" s="188">
        <v>53973</v>
      </c>
      <c r="H469" s="188">
        <v>16532</v>
      </c>
      <c r="I469" s="143"/>
    </row>
    <row r="470" spans="1:9" ht="14.25" customHeight="1">
      <c r="A470" s="157" t="s">
        <v>902</v>
      </c>
      <c r="B470" s="186">
        <v>970</v>
      </c>
      <c r="C470" s="188">
        <v>1397</v>
      </c>
      <c r="D470" s="188">
        <v>76141</v>
      </c>
      <c r="E470" s="188">
        <v>73878</v>
      </c>
      <c r="F470" s="188">
        <v>20569</v>
      </c>
      <c r="G470" s="188">
        <v>53973</v>
      </c>
      <c r="H470" s="188">
        <v>16532</v>
      </c>
      <c r="I470" s="143"/>
    </row>
    <row r="471" spans="1:9" ht="14.25" customHeight="1">
      <c r="A471" s="157" t="s">
        <v>903</v>
      </c>
      <c r="B471" s="186">
        <v>221</v>
      </c>
      <c r="C471" s="188">
        <v>298</v>
      </c>
      <c r="D471" s="188">
        <v>16005</v>
      </c>
      <c r="E471" s="188">
        <v>15376</v>
      </c>
      <c r="F471" s="188">
        <v>3969</v>
      </c>
      <c r="G471" s="188">
        <v>9861</v>
      </c>
      <c r="H471" s="188">
        <v>2841</v>
      </c>
      <c r="I471" s="143"/>
    </row>
    <row r="472" spans="1:9" ht="14.25" customHeight="1">
      <c r="A472" s="157" t="s">
        <v>904</v>
      </c>
      <c r="B472" s="186">
        <v>29</v>
      </c>
      <c r="C472" s="188">
        <v>39</v>
      </c>
      <c r="D472" s="188">
        <v>1460</v>
      </c>
      <c r="E472" s="188">
        <v>1489</v>
      </c>
      <c r="F472" s="188">
        <v>378</v>
      </c>
      <c r="G472" s="188">
        <v>975</v>
      </c>
      <c r="H472" s="188">
        <v>243</v>
      </c>
      <c r="I472" s="143"/>
    </row>
    <row r="473" spans="1:9" ht="14.25" customHeight="1">
      <c r="A473" s="157" t="s">
        <v>905</v>
      </c>
      <c r="B473" s="186">
        <v>58</v>
      </c>
      <c r="C473" s="188">
        <v>69</v>
      </c>
      <c r="D473" s="188">
        <v>4632</v>
      </c>
      <c r="E473" s="188">
        <v>4401</v>
      </c>
      <c r="F473" s="188">
        <v>1274</v>
      </c>
      <c r="G473" s="188">
        <v>2869</v>
      </c>
      <c r="H473" s="188">
        <v>718</v>
      </c>
      <c r="I473" s="143"/>
    </row>
    <row r="474" spans="1:9" ht="14.25" customHeight="1">
      <c r="A474" s="157" t="s">
        <v>906</v>
      </c>
      <c r="B474" s="186">
        <v>47</v>
      </c>
      <c r="C474" s="188">
        <v>58</v>
      </c>
      <c r="D474" s="188">
        <v>2176</v>
      </c>
      <c r="E474" s="188">
        <v>2083</v>
      </c>
      <c r="F474" s="188">
        <v>657</v>
      </c>
      <c r="G474" s="188">
        <v>1339</v>
      </c>
      <c r="H474" s="188">
        <v>535</v>
      </c>
      <c r="I474" s="143"/>
    </row>
    <row r="475" spans="1:9" ht="14.25" customHeight="1">
      <c r="A475" s="157" t="s">
        <v>907</v>
      </c>
      <c r="B475" s="186">
        <v>30</v>
      </c>
      <c r="C475" s="188">
        <v>38</v>
      </c>
      <c r="D475" s="188">
        <v>1669</v>
      </c>
      <c r="E475" s="188">
        <v>1583</v>
      </c>
      <c r="F475" s="188">
        <v>601</v>
      </c>
      <c r="G475" s="188">
        <v>1066</v>
      </c>
      <c r="H475" s="188">
        <v>490</v>
      </c>
      <c r="I475" s="143"/>
    </row>
    <row r="476" spans="1:9" ht="14.25" customHeight="1">
      <c r="A476" s="157" t="s">
        <v>908</v>
      </c>
      <c r="B476" s="186">
        <v>57</v>
      </c>
      <c r="C476" s="188">
        <v>94</v>
      </c>
      <c r="D476" s="188">
        <v>6068</v>
      </c>
      <c r="E476" s="188">
        <v>5820</v>
      </c>
      <c r="F476" s="188">
        <v>1059</v>
      </c>
      <c r="G476" s="188">
        <v>3612</v>
      </c>
      <c r="H476" s="188">
        <v>855</v>
      </c>
      <c r="I476" s="143"/>
    </row>
    <row r="477" spans="1:9" ht="14.25" customHeight="1">
      <c r="A477" s="157" t="s">
        <v>909</v>
      </c>
      <c r="B477" s="186">
        <v>287</v>
      </c>
      <c r="C477" s="188">
        <v>453</v>
      </c>
      <c r="D477" s="188">
        <v>16807</v>
      </c>
      <c r="E477" s="188">
        <v>16336</v>
      </c>
      <c r="F477" s="188">
        <v>4919</v>
      </c>
      <c r="G477" s="188">
        <v>12406</v>
      </c>
      <c r="H477" s="188">
        <v>4288</v>
      </c>
      <c r="I477" s="143"/>
    </row>
    <row r="478" spans="1:9" ht="14.25" customHeight="1">
      <c r="A478" s="157" t="s">
        <v>910</v>
      </c>
      <c r="B478" s="186">
        <v>48</v>
      </c>
      <c r="C478" s="188">
        <v>93</v>
      </c>
      <c r="D478" s="188">
        <v>2254</v>
      </c>
      <c r="E478" s="188">
        <v>2037</v>
      </c>
      <c r="F478" s="188">
        <v>728</v>
      </c>
      <c r="G478" s="188">
        <v>1533</v>
      </c>
      <c r="H478" s="188">
        <v>651</v>
      </c>
      <c r="I478" s="143"/>
    </row>
    <row r="479" spans="1:9" ht="14.25" customHeight="1">
      <c r="A479" s="157" t="s">
        <v>911</v>
      </c>
      <c r="B479" s="186">
        <v>37</v>
      </c>
      <c r="C479" s="188">
        <v>45</v>
      </c>
      <c r="D479" s="188">
        <v>2475</v>
      </c>
      <c r="E479" s="188">
        <v>2386</v>
      </c>
      <c r="F479" s="188">
        <v>606</v>
      </c>
      <c r="G479" s="188">
        <v>1669</v>
      </c>
      <c r="H479" s="188">
        <v>514</v>
      </c>
      <c r="I479" s="143"/>
    </row>
    <row r="480" spans="1:9" ht="14.25" customHeight="1">
      <c r="A480" s="157" t="s">
        <v>912</v>
      </c>
      <c r="B480" s="186">
        <v>31</v>
      </c>
      <c r="C480" s="188">
        <v>42</v>
      </c>
      <c r="D480" s="188">
        <v>2048</v>
      </c>
      <c r="E480" s="188">
        <v>2016</v>
      </c>
      <c r="F480" s="188">
        <v>648</v>
      </c>
      <c r="G480" s="188">
        <v>1464</v>
      </c>
      <c r="H480" s="188">
        <v>547</v>
      </c>
      <c r="I480" s="143"/>
    </row>
    <row r="481" spans="1:9" ht="14.25" customHeight="1">
      <c r="A481" s="157" t="s">
        <v>913</v>
      </c>
      <c r="B481" s="186">
        <v>21</v>
      </c>
      <c r="C481" s="188">
        <v>35</v>
      </c>
      <c r="D481" s="188">
        <v>1303</v>
      </c>
      <c r="E481" s="188">
        <v>1304</v>
      </c>
      <c r="F481" s="188">
        <v>239</v>
      </c>
      <c r="G481" s="188">
        <v>968</v>
      </c>
      <c r="H481" s="188">
        <v>195</v>
      </c>
      <c r="I481" s="143"/>
    </row>
    <row r="482" spans="1:9" ht="14.25" customHeight="1">
      <c r="A482" s="157" t="s">
        <v>914</v>
      </c>
      <c r="B482" s="186">
        <v>65</v>
      </c>
      <c r="C482" s="188">
        <v>97</v>
      </c>
      <c r="D482" s="188">
        <v>3909</v>
      </c>
      <c r="E482" s="188">
        <v>3783</v>
      </c>
      <c r="F482" s="188">
        <v>1073</v>
      </c>
      <c r="G482" s="188">
        <v>2806</v>
      </c>
      <c r="H482" s="188">
        <v>890</v>
      </c>
      <c r="I482" s="143"/>
    </row>
    <row r="483" spans="1:9" ht="14.25" customHeight="1">
      <c r="A483" s="157" t="s">
        <v>915</v>
      </c>
      <c r="B483" s="186">
        <v>26</v>
      </c>
      <c r="C483" s="188">
        <v>64</v>
      </c>
      <c r="D483" s="188">
        <v>1507</v>
      </c>
      <c r="E483" s="188">
        <v>1652</v>
      </c>
      <c r="F483" s="188">
        <v>507</v>
      </c>
      <c r="G483" s="188">
        <v>1475</v>
      </c>
      <c r="H483" s="188">
        <v>487</v>
      </c>
      <c r="I483" s="143"/>
    </row>
    <row r="484" spans="1:9" ht="14.25" customHeight="1">
      <c r="A484" s="157" t="s">
        <v>916</v>
      </c>
      <c r="B484" s="186">
        <v>36</v>
      </c>
      <c r="C484" s="188">
        <v>44</v>
      </c>
      <c r="D484" s="188">
        <v>1738</v>
      </c>
      <c r="E484" s="188">
        <v>1708</v>
      </c>
      <c r="F484" s="188">
        <v>631</v>
      </c>
      <c r="G484" s="188">
        <v>1295</v>
      </c>
      <c r="H484" s="188">
        <v>532</v>
      </c>
      <c r="I484" s="143"/>
    </row>
    <row r="485" spans="1:9" ht="14.25" customHeight="1">
      <c r="A485" s="157" t="s">
        <v>917</v>
      </c>
      <c r="B485" s="186">
        <v>23</v>
      </c>
      <c r="C485" s="188">
        <v>33</v>
      </c>
      <c r="D485" s="188">
        <v>1573</v>
      </c>
      <c r="E485" s="188">
        <v>1450</v>
      </c>
      <c r="F485" s="188">
        <v>487</v>
      </c>
      <c r="G485" s="188">
        <v>1196</v>
      </c>
      <c r="H485" s="188">
        <v>472</v>
      </c>
      <c r="I485" s="143"/>
    </row>
    <row r="486" spans="1:9" ht="14.25" customHeight="1">
      <c r="A486" s="157" t="s">
        <v>918</v>
      </c>
      <c r="B486" s="186">
        <v>177</v>
      </c>
      <c r="C486" s="188">
        <v>305</v>
      </c>
      <c r="D486" s="188">
        <v>24611</v>
      </c>
      <c r="E486" s="188">
        <v>23386</v>
      </c>
      <c r="F486" s="188">
        <v>7394</v>
      </c>
      <c r="G486" s="188">
        <v>18005</v>
      </c>
      <c r="H486" s="188">
        <v>5852</v>
      </c>
      <c r="I486" s="143"/>
    </row>
    <row r="487" spans="1:9" ht="14.25" customHeight="1">
      <c r="A487" s="157" t="s">
        <v>919</v>
      </c>
      <c r="B487" s="186">
        <v>177</v>
      </c>
      <c r="C487" s="188">
        <v>305</v>
      </c>
      <c r="D487" s="188">
        <v>24611</v>
      </c>
      <c r="E487" s="188">
        <v>23386</v>
      </c>
      <c r="F487" s="188">
        <v>7394</v>
      </c>
      <c r="G487" s="188">
        <v>18005</v>
      </c>
      <c r="H487" s="188">
        <v>5852</v>
      </c>
      <c r="I487" s="143"/>
    </row>
    <row r="488" spans="1:9" ht="14.25" customHeight="1">
      <c r="A488" s="157" t="s">
        <v>920</v>
      </c>
      <c r="B488" s="186">
        <v>285</v>
      </c>
      <c r="C488" s="188">
        <v>341</v>
      </c>
      <c r="D488" s="188">
        <v>18718</v>
      </c>
      <c r="E488" s="188">
        <v>18780</v>
      </c>
      <c r="F488" s="188">
        <v>4287</v>
      </c>
      <c r="G488" s="188">
        <v>13701</v>
      </c>
      <c r="H488" s="188">
        <v>3551</v>
      </c>
      <c r="I488" s="143"/>
    </row>
    <row r="489" spans="1:9" ht="14.25" customHeight="1">
      <c r="A489" s="157" t="s">
        <v>921</v>
      </c>
      <c r="B489" s="186">
        <v>35</v>
      </c>
      <c r="C489" s="188">
        <v>50</v>
      </c>
      <c r="D489" s="188">
        <v>2665</v>
      </c>
      <c r="E489" s="188">
        <v>2567</v>
      </c>
      <c r="F489" s="188">
        <v>370</v>
      </c>
      <c r="G489" s="188">
        <v>2091</v>
      </c>
      <c r="H489" s="188">
        <v>309</v>
      </c>
      <c r="I489" s="143"/>
    </row>
    <row r="490" spans="1:9" ht="14.25" customHeight="1">
      <c r="A490" s="157" t="s">
        <v>922</v>
      </c>
      <c r="B490" s="186">
        <v>32</v>
      </c>
      <c r="C490" s="188">
        <v>34</v>
      </c>
      <c r="D490" s="188">
        <v>1894</v>
      </c>
      <c r="E490" s="188">
        <v>1828</v>
      </c>
      <c r="F490" s="188">
        <v>635</v>
      </c>
      <c r="G490" s="188">
        <v>1188</v>
      </c>
      <c r="H490" s="188">
        <v>515</v>
      </c>
      <c r="I490" s="143"/>
    </row>
    <row r="491" spans="1:9" ht="14.25" customHeight="1">
      <c r="A491" s="157" t="s">
        <v>923</v>
      </c>
      <c r="B491" s="186">
        <v>56</v>
      </c>
      <c r="C491" s="188">
        <v>66</v>
      </c>
      <c r="D491" s="188">
        <v>3310</v>
      </c>
      <c r="E491" s="188">
        <v>3216</v>
      </c>
      <c r="F491" s="188">
        <v>1003</v>
      </c>
      <c r="G491" s="188">
        <v>2169</v>
      </c>
      <c r="H491" s="188">
        <v>877</v>
      </c>
      <c r="I491" s="143"/>
    </row>
    <row r="492" spans="1:9" ht="14.25" customHeight="1">
      <c r="A492" s="157" t="s">
        <v>924</v>
      </c>
      <c r="B492" s="186">
        <v>43</v>
      </c>
      <c r="C492" s="188">
        <v>51</v>
      </c>
      <c r="D492" s="188">
        <v>2324</v>
      </c>
      <c r="E492" s="188">
        <v>2239</v>
      </c>
      <c r="F492" s="188">
        <v>669</v>
      </c>
      <c r="G492" s="188">
        <v>1691</v>
      </c>
      <c r="H492" s="188">
        <v>567</v>
      </c>
      <c r="I492" s="143"/>
    </row>
    <row r="493" spans="1:9" ht="14.25" customHeight="1">
      <c r="A493" s="157" t="s">
        <v>925</v>
      </c>
      <c r="B493" s="186">
        <v>43</v>
      </c>
      <c r="C493" s="188">
        <v>46</v>
      </c>
      <c r="D493" s="188">
        <v>2375</v>
      </c>
      <c r="E493" s="188">
        <v>2839</v>
      </c>
      <c r="F493" s="188">
        <v>525</v>
      </c>
      <c r="G493" s="188">
        <v>1798</v>
      </c>
      <c r="H493" s="188">
        <v>307</v>
      </c>
      <c r="I493" s="143"/>
    </row>
    <row r="494" spans="1:9" ht="14.25" customHeight="1">
      <c r="A494" s="157" t="s">
        <v>926</v>
      </c>
      <c r="B494" s="186">
        <v>59</v>
      </c>
      <c r="C494" s="188">
        <v>74</v>
      </c>
      <c r="D494" s="188">
        <v>4583</v>
      </c>
      <c r="E494" s="188">
        <v>4618</v>
      </c>
      <c r="F494" s="188">
        <v>962</v>
      </c>
      <c r="G494" s="188">
        <v>3562</v>
      </c>
      <c r="H494" s="188">
        <v>859</v>
      </c>
      <c r="I494" s="143"/>
    </row>
    <row r="495" spans="1:9" ht="14.25" customHeight="1">
      <c r="A495" s="157" t="s">
        <v>927</v>
      </c>
      <c r="B495" s="186">
        <v>17</v>
      </c>
      <c r="C495" s="188">
        <v>20</v>
      </c>
      <c r="D495" s="188">
        <v>1567</v>
      </c>
      <c r="E495" s="188">
        <v>1473</v>
      </c>
      <c r="F495" s="188">
        <v>123</v>
      </c>
      <c r="G495" s="188">
        <v>1202</v>
      </c>
      <c r="H495" s="188">
        <v>117</v>
      </c>
      <c r="I495" s="143"/>
    </row>
  </sheetData>
  <mergeCells count="12">
    <mergeCell ref="G6:H6"/>
    <mergeCell ref="G3:H3"/>
    <mergeCell ref="A1:H1"/>
    <mergeCell ref="A2:H2"/>
    <mergeCell ref="A4:A7"/>
    <mergeCell ref="B4:B7"/>
    <mergeCell ref="C4:C7"/>
    <mergeCell ref="D4:D7"/>
    <mergeCell ref="E4:H4"/>
    <mergeCell ref="E5:E7"/>
    <mergeCell ref="F5:H5"/>
    <mergeCell ref="F6:F7"/>
  </mergeCells>
  <hyperlinks>
    <hyperlink ref="G3" location="'Spis tablic'!A4" display="Powrót do spisu treści" xr:uid="{00000000-0004-0000-1500-000000000000}"/>
    <hyperlink ref="D3:E3" location="'SPIS TREŚCI'!A83" display="'SPIS TREŚCI'!A83" xr:uid="{00000000-0004-0000-1500-000001000000}"/>
    <hyperlink ref="G3:H3" location="'Spis tablic  List of tables'!A45" display="'Spis tablic  List of tables'!A45" xr:uid="{00000000-0004-0000-1500-000002000000}"/>
  </hyperlink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3"/>
  <dimension ref="A1:M150"/>
  <sheetViews>
    <sheetView zoomScaleNormal="100" workbookViewId="0">
      <pane xSplit="2" ySplit="5" topLeftCell="C6" activePane="bottomRight" state="frozen"/>
      <selection activeCell="G12" sqref="G12"/>
      <selection pane="topRight" activeCell="G12" sqref="G12"/>
      <selection pane="bottomLeft" activeCell="G12" sqref="G12"/>
      <selection pane="bottomRight" activeCell="A6" sqref="A6:A7"/>
    </sheetView>
  </sheetViews>
  <sheetFormatPr defaultColWidth="9.1796875" defaultRowHeight="10"/>
  <cols>
    <col min="1" max="1" width="26.453125" style="41" customWidth="1"/>
    <col min="2" max="2" width="4.81640625" style="41" customWidth="1"/>
    <col min="3" max="6" width="13.1796875" style="113" customWidth="1"/>
    <col min="7" max="7" width="2.453125" style="41" customWidth="1"/>
    <col min="8" max="8" width="9.1796875" style="41"/>
    <col min="9" max="9" width="12.453125" style="41" customWidth="1"/>
    <col min="10" max="16384" width="9.1796875" style="41"/>
  </cols>
  <sheetData>
    <row r="1" spans="1:13" s="39" customFormat="1" ht="15.75" customHeight="1">
      <c r="A1" s="545" t="s">
        <v>1359</v>
      </c>
      <c r="B1" s="545"/>
      <c r="C1" s="545"/>
      <c r="D1" s="545"/>
      <c r="E1" s="545"/>
      <c r="F1" s="545"/>
    </row>
    <row r="2" spans="1:13" s="39" customFormat="1" ht="15.75" customHeight="1">
      <c r="A2" s="575" t="s">
        <v>1360</v>
      </c>
      <c r="B2" s="575"/>
      <c r="C2" s="575"/>
      <c r="D2" s="575"/>
      <c r="E2" s="575"/>
      <c r="F2" s="575"/>
    </row>
    <row r="3" spans="1:13" s="39" customFormat="1" ht="27" customHeight="1">
      <c r="A3" s="74"/>
      <c r="B3" s="74"/>
      <c r="C3" s="114"/>
      <c r="D3" s="114"/>
      <c r="E3" s="537" t="s">
        <v>5</v>
      </c>
      <c r="F3" s="547"/>
    </row>
    <row r="4" spans="1:13" ht="36.75" customHeight="1">
      <c r="A4" s="584" t="s">
        <v>1191</v>
      </c>
      <c r="B4" s="548"/>
      <c r="C4" s="539" t="s">
        <v>279</v>
      </c>
      <c r="D4" s="539" t="s">
        <v>280</v>
      </c>
      <c r="E4" s="543" t="s">
        <v>281</v>
      </c>
      <c r="F4" s="544"/>
    </row>
    <row r="5" spans="1:13" ht="78" customHeight="1">
      <c r="A5" s="591"/>
      <c r="B5" s="550"/>
      <c r="C5" s="540"/>
      <c r="D5" s="540"/>
      <c r="E5" s="44" t="s">
        <v>282</v>
      </c>
      <c r="F5" s="45" t="s">
        <v>283</v>
      </c>
      <c r="I5" s="48"/>
    </row>
    <row r="6" spans="1:13" ht="14.25" customHeight="1">
      <c r="A6" s="589" t="s">
        <v>1398</v>
      </c>
      <c r="B6" s="115" t="s">
        <v>285</v>
      </c>
      <c r="C6" s="212">
        <v>8999</v>
      </c>
      <c r="D6" s="212">
        <v>3435</v>
      </c>
      <c r="E6" s="212">
        <v>1500</v>
      </c>
      <c r="F6" s="212">
        <v>3649</v>
      </c>
      <c r="I6" s="133"/>
      <c r="J6" s="133"/>
      <c r="K6" s="48"/>
      <c r="L6" s="48"/>
      <c r="M6" s="48"/>
    </row>
    <row r="7" spans="1:13" ht="14.25" customHeight="1">
      <c r="A7" s="590"/>
      <c r="B7" s="52" t="s">
        <v>286</v>
      </c>
      <c r="C7" s="221">
        <v>9582</v>
      </c>
      <c r="D7" s="221">
        <v>3771</v>
      </c>
      <c r="E7" s="221">
        <v>1407</v>
      </c>
      <c r="F7" s="221">
        <v>4218</v>
      </c>
      <c r="H7" s="247"/>
      <c r="I7" s="247"/>
      <c r="J7" s="133"/>
      <c r="K7" s="48"/>
      <c r="L7" s="48"/>
      <c r="M7" s="48"/>
    </row>
    <row r="8" spans="1:13" ht="14.25" customHeight="1">
      <c r="A8" s="587" t="s">
        <v>1012</v>
      </c>
      <c r="B8" s="115" t="s">
        <v>285</v>
      </c>
      <c r="C8" s="177">
        <v>362</v>
      </c>
      <c r="D8" s="177">
        <v>41</v>
      </c>
      <c r="E8" s="171" t="s">
        <v>1074</v>
      </c>
      <c r="F8" s="177">
        <v>72</v>
      </c>
      <c r="I8" s="48"/>
      <c r="J8" s="48"/>
      <c r="K8" s="48"/>
      <c r="L8" s="48"/>
      <c r="M8" s="48"/>
    </row>
    <row r="9" spans="1:13" ht="14.25" customHeight="1">
      <c r="A9" s="588"/>
      <c r="B9" s="115" t="s">
        <v>286</v>
      </c>
      <c r="C9" s="177">
        <v>356</v>
      </c>
      <c r="D9" s="177">
        <v>43</v>
      </c>
      <c r="E9" s="171" t="s">
        <v>1074</v>
      </c>
      <c r="F9" s="171">
        <v>65</v>
      </c>
      <c r="I9" s="48"/>
      <c r="J9" s="48"/>
      <c r="K9" s="48"/>
      <c r="L9" s="48"/>
      <c r="M9" s="48"/>
    </row>
    <row r="10" spans="1:13" s="437" customFormat="1" ht="14.25" customHeight="1">
      <c r="A10" s="587" t="s">
        <v>1014</v>
      </c>
      <c r="B10" s="115" t="s">
        <v>285</v>
      </c>
      <c r="C10" s="177">
        <v>182</v>
      </c>
      <c r="D10" s="177">
        <v>81</v>
      </c>
      <c r="E10" s="177">
        <v>53</v>
      </c>
      <c r="F10" s="177" t="s">
        <v>1074</v>
      </c>
    </row>
    <row r="11" spans="1:13" ht="28.75" customHeight="1">
      <c r="A11" s="588"/>
      <c r="B11" s="115" t="s">
        <v>286</v>
      </c>
      <c r="C11" s="177">
        <v>200</v>
      </c>
      <c r="D11" s="177">
        <v>102</v>
      </c>
      <c r="E11" s="177">
        <v>76</v>
      </c>
      <c r="F11" s="177" t="s">
        <v>1074</v>
      </c>
    </row>
    <row r="12" spans="1:13" s="437" customFormat="1" ht="14.25" customHeight="1">
      <c r="A12" s="587" t="s">
        <v>1235</v>
      </c>
      <c r="B12" s="115" t="s">
        <v>285</v>
      </c>
      <c r="C12" s="177">
        <v>38</v>
      </c>
      <c r="D12" s="177">
        <v>19</v>
      </c>
      <c r="E12" s="177">
        <v>9</v>
      </c>
      <c r="F12" s="177">
        <v>7</v>
      </c>
    </row>
    <row r="13" spans="1:13" s="437" customFormat="1" ht="22.5" customHeight="1">
      <c r="A13" s="588"/>
      <c r="B13" s="115" t="s">
        <v>286</v>
      </c>
      <c r="C13" s="171">
        <v>36</v>
      </c>
      <c r="D13" s="171">
        <v>17</v>
      </c>
      <c r="E13" s="171">
        <v>9</v>
      </c>
      <c r="F13" s="171">
        <v>7</v>
      </c>
    </row>
    <row r="14" spans="1:13" s="437" customFormat="1" ht="15.65" customHeight="1">
      <c r="A14" s="562" t="s">
        <v>1239</v>
      </c>
      <c r="B14" s="115" t="s">
        <v>285</v>
      </c>
      <c r="C14" s="113">
        <v>182</v>
      </c>
      <c r="D14" s="321">
        <v>80</v>
      </c>
      <c r="E14" s="321">
        <v>27</v>
      </c>
      <c r="F14" s="321">
        <v>34</v>
      </c>
    </row>
    <row r="15" spans="1:13" s="437" customFormat="1" ht="15.65" customHeight="1">
      <c r="A15" s="592"/>
      <c r="B15" s="115" t="s">
        <v>286</v>
      </c>
      <c r="C15" s="113">
        <v>114</v>
      </c>
      <c r="D15" s="321">
        <v>55</v>
      </c>
      <c r="E15" s="321">
        <v>30</v>
      </c>
      <c r="F15" s="321">
        <v>50</v>
      </c>
    </row>
    <row r="16" spans="1:13" ht="14.25" customHeight="1">
      <c r="A16" s="587" t="s">
        <v>1013</v>
      </c>
      <c r="B16" s="115" t="s">
        <v>285</v>
      </c>
      <c r="C16" s="177">
        <v>60</v>
      </c>
      <c r="D16" s="177">
        <v>33</v>
      </c>
      <c r="E16" s="177">
        <v>15</v>
      </c>
      <c r="F16" s="177">
        <v>25</v>
      </c>
      <c r="I16" s="48"/>
      <c r="J16" s="48"/>
      <c r="K16" s="48"/>
      <c r="L16" s="48"/>
      <c r="M16" s="48"/>
    </row>
    <row r="17" spans="1:6" ht="14.15" customHeight="1">
      <c r="A17" s="588"/>
      <c r="B17" s="115" t="s">
        <v>286</v>
      </c>
      <c r="C17" s="177">
        <v>60</v>
      </c>
      <c r="D17" s="177">
        <v>33</v>
      </c>
      <c r="E17" s="177">
        <v>15</v>
      </c>
      <c r="F17" s="171">
        <v>25</v>
      </c>
    </row>
    <row r="18" spans="1:6" ht="14.25" customHeight="1">
      <c r="A18" s="587" t="s">
        <v>1073</v>
      </c>
      <c r="B18" s="115" t="s">
        <v>285</v>
      </c>
      <c r="C18" s="177">
        <v>27</v>
      </c>
      <c r="D18" s="177" t="s">
        <v>1074</v>
      </c>
      <c r="E18" s="177" t="s">
        <v>1074</v>
      </c>
      <c r="F18" s="177" t="s">
        <v>1074</v>
      </c>
    </row>
    <row r="19" spans="1:6" ht="10.4" customHeight="1">
      <c r="A19" s="588"/>
      <c r="B19" s="115" t="s">
        <v>286</v>
      </c>
      <c r="C19" s="177">
        <v>45</v>
      </c>
      <c r="D19" s="177">
        <v>19</v>
      </c>
      <c r="E19" s="177" t="s">
        <v>1074</v>
      </c>
      <c r="F19" s="177" t="s">
        <v>1074</v>
      </c>
    </row>
    <row r="20" spans="1:6" ht="14.25" customHeight="1">
      <c r="A20" s="587" t="s">
        <v>1015</v>
      </c>
      <c r="B20" s="115" t="s">
        <v>285</v>
      </c>
      <c r="C20" s="177">
        <v>112</v>
      </c>
      <c r="D20" s="177">
        <v>59</v>
      </c>
      <c r="E20" s="177">
        <v>34</v>
      </c>
      <c r="F20" s="177">
        <v>39</v>
      </c>
    </row>
    <row r="21" spans="1:6" ht="14.25" customHeight="1">
      <c r="A21" s="588"/>
      <c r="B21" s="115" t="s">
        <v>286</v>
      </c>
      <c r="C21" s="177">
        <v>103</v>
      </c>
      <c r="D21" s="177">
        <v>54</v>
      </c>
      <c r="E21" s="177">
        <v>39</v>
      </c>
      <c r="F21" s="177">
        <v>33</v>
      </c>
    </row>
    <row r="22" spans="1:6" ht="14.25" customHeight="1">
      <c r="A22" s="587" t="s">
        <v>1016</v>
      </c>
      <c r="B22" s="115" t="s">
        <v>285</v>
      </c>
      <c r="C22" s="177">
        <v>60</v>
      </c>
      <c r="D22" s="177">
        <v>18</v>
      </c>
      <c r="E22" s="177">
        <v>48</v>
      </c>
      <c r="F22" s="177">
        <v>12</v>
      </c>
    </row>
    <row r="23" spans="1:6" ht="16.899999999999999" customHeight="1">
      <c r="A23" s="588"/>
      <c r="B23" s="115" t="s">
        <v>286</v>
      </c>
      <c r="C23" s="177">
        <v>203</v>
      </c>
      <c r="D23" s="177">
        <v>74</v>
      </c>
      <c r="E23" s="171">
        <v>36</v>
      </c>
      <c r="F23" s="177">
        <v>106</v>
      </c>
    </row>
    <row r="24" spans="1:6" ht="14.25" customHeight="1">
      <c r="A24" s="587" t="s">
        <v>1017</v>
      </c>
      <c r="B24" s="115" t="s">
        <v>285</v>
      </c>
      <c r="C24" s="177">
        <v>31</v>
      </c>
      <c r="D24" s="177">
        <v>16</v>
      </c>
      <c r="E24" s="177">
        <v>7</v>
      </c>
      <c r="F24" s="177">
        <v>12</v>
      </c>
    </row>
    <row r="25" spans="1:6" ht="14.25" customHeight="1">
      <c r="A25" s="588"/>
      <c r="B25" s="115" t="s">
        <v>286</v>
      </c>
      <c r="C25" s="177">
        <v>36</v>
      </c>
      <c r="D25" s="177">
        <v>18</v>
      </c>
      <c r="E25" s="177">
        <v>12</v>
      </c>
      <c r="F25" s="177">
        <v>9</v>
      </c>
    </row>
    <row r="26" spans="1:6" ht="14.25" customHeight="1">
      <c r="A26" s="587" t="s">
        <v>1018</v>
      </c>
      <c r="B26" s="115" t="s">
        <v>285</v>
      </c>
      <c r="C26" s="177">
        <v>32</v>
      </c>
      <c r="D26" s="177">
        <v>9</v>
      </c>
      <c r="E26" s="171" t="s">
        <v>1074</v>
      </c>
      <c r="F26" s="177">
        <v>16</v>
      </c>
    </row>
    <row r="27" spans="1:6" ht="14.25" customHeight="1">
      <c r="A27" s="588"/>
      <c r="B27" s="115" t="s">
        <v>286</v>
      </c>
      <c r="C27" s="177">
        <v>33</v>
      </c>
      <c r="D27" s="177">
        <v>10</v>
      </c>
      <c r="E27" s="171" t="s">
        <v>1074</v>
      </c>
      <c r="F27" s="177">
        <v>15</v>
      </c>
    </row>
    <row r="28" spans="1:6" ht="14.25" customHeight="1">
      <c r="A28" s="587" t="s">
        <v>1019</v>
      </c>
      <c r="B28" s="115" t="s">
        <v>285</v>
      </c>
      <c r="C28" s="177">
        <v>23</v>
      </c>
      <c r="D28" s="177">
        <v>10</v>
      </c>
      <c r="E28" s="171" t="s">
        <v>1074</v>
      </c>
      <c r="F28" s="177">
        <v>21</v>
      </c>
    </row>
    <row r="29" spans="1:6" ht="23.5" customHeight="1">
      <c r="A29" s="588"/>
      <c r="B29" s="115" t="s">
        <v>286</v>
      </c>
      <c r="C29" s="177">
        <v>37</v>
      </c>
      <c r="D29" s="177">
        <v>16</v>
      </c>
      <c r="E29" s="177">
        <v>9</v>
      </c>
      <c r="F29" s="177">
        <v>18</v>
      </c>
    </row>
    <row r="30" spans="1:6" ht="14.15" customHeight="1">
      <c r="A30" s="587" t="s">
        <v>1020</v>
      </c>
      <c r="B30" s="115" t="s">
        <v>285</v>
      </c>
      <c r="C30" s="177">
        <v>5</v>
      </c>
      <c r="D30" s="177">
        <v>3</v>
      </c>
      <c r="E30" s="171" t="s">
        <v>1074</v>
      </c>
      <c r="F30" s="171" t="s">
        <v>1074</v>
      </c>
    </row>
    <row r="31" spans="1:6" ht="14.25" customHeight="1">
      <c r="A31" s="588"/>
      <c r="B31" s="115" t="s">
        <v>286</v>
      </c>
      <c r="C31" s="177">
        <v>6</v>
      </c>
      <c r="D31" s="177">
        <v>3</v>
      </c>
      <c r="E31" s="171" t="s">
        <v>1074</v>
      </c>
      <c r="F31" s="171" t="s">
        <v>1074</v>
      </c>
    </row>
    <row r="32" spans="1:6" ht="14.25" customHeight="1">
      <c r="A32" s="587" t="s">
        <v>1021</v>
      </c>
      <c r="B32" s="115" t="s">
        <v>285</v>
      </c>
      <c r="C32" s="177">
        <v>72</v>
      </c>
      <c r="D32" s="177">
        <v>37</v>
      </c>
      <c r="E32" s="177">
        <v>24</v>
      </c>
      <c r="F32" s="177">
        <v>29</v>
      </c>
    </row>
    <row r="33" spans="1:6" ht="14.25" customHeight="1">
      <c r="A33" s="588"/>
      <c r="B33" s="115" t="s">
        <v>286</v>
      </c>
      <c r="C33" s="177">
        <v>65</v>
      </c>
      <c r="D33" s="177">
        <v>28</v>
      </c>
      <c r="E33" s="177">
        <v>25</v>
      </c>
      <c r="F33" s="177">
        <v>29</v>
      </c>
    </row>
    <row r="34" spans="1:6" ht="14.25" customHeight="1">
      <c r="A34" s="587" t="s">
        <v>1022</v>
      </c>
      <c r="B34" s="115" t="s">
        <v>285</v>
      </c>
      <c r="C34" s="177">
        <v>70</v>
      </c>
      <c r="D34" s="177">
        <v>21</v>
      </c>
      <c r="E34" s="177">
        <v>18</v>
      </c>
      <c r="F34" s="177">
        <v>6</v>
      </c>
    </row>
    <row r="35" spans="1:6" ht="14.25" customHeight="1">
      <c r="A35" s="588"/>
      <c r="B35" s="115" t="s">
        <v>286</v>
      </c>
      <c r="C35" s="177">
        <v>89</v>
      </c>
      <c r="D35" s="171">
        <v>30</v>
      </c>
      <c r="E35" s="171">
        <v>10</v>
      </c>
      <c r="F35" s="171">
        <v>32</v>
      </c>
    </row>
    <row r="36" spans="1:6" ht="14.25" customHeight="1">
      <c r="A36" s="587" t="s">
        <v>1023</v>
      </c>
      <c r="B36" s="115" t="s">
        <v>285</v>
      </c>
      <c r="C36" s="177">
        <v>14</v>
      </c>
      <c r="D36" s="177">
        <v>5</v>
      </c>
      <c r="E36" s="171" t="s">
        <v>1074</v>
      </c>
      <c r="F36" s="171" t="s">
        <v>1074</v>
      </c>
    </row>
    <row r="37" spans="1:6" ht="14.25" customHeight="1">
      <c r="A37" s="588"/>
      <c r="B37" s="115" t="s">
        <v>286</v>
      </c>
      <c r="C37" s="177">
        <v>15</v>
      </c>
      <c r="D37" s="177">
        <v>6</v>
      </c>
      <c r="E37" s="171" t="s">
        <v>1074</v>
      </c>
      <c r="F37" s="171" t="s">
        <v>1074</v>
      </c>
    </row>
    <row r="38" spans="1:6" ht="14.25" customHeight="1">
      <c r="A38" s="587" t="s">
        <v>1024</v>
      </c>
      <c r="B38" s="115" t="s">
        <v>285</v>
      </c>
      <c r="C38" s="177">
        <v>133</v>
      </c>
      <c r="D38" s="177">
        <v>79</v>
      </c>
      <c r="E38" s="171" t="s">
        <v>1074</v>
      </c>
      <c r="F38" s="177">
        <v>93</v>
      </c>
    </row>
    <row r="39" spans="1:6" ht="14.25" customHeight="1">
      <c r="A39" s="587"/>
      <c r="B39" s="115" t="s">
        <v>286</v>
      </c>
      <c r="C39" s="177">
        <v>40</v>
      </c>
      <c r="D39" s="177">
        <v>34</v>
      </c>
      <c r="E39" s="171" t="s">
        <v>1074</v>
      </c>
      <c r="F39" s="177">
        <v>24</v>
      </c>
    </row>
    <row r="40" spans="1:6" ht="14.25" customHeight="1">
      <c r="A40" s="587" t="s">
        <v>1025</v>
      </c>
      <c r="B40" s="115" t="s">
        <v>285</v>
      </c>
      <c r="C40" s="177">
        <v>66</v>
      </c>
      <c r="D40" s="177">
        <v>31</v>
      </c>
      <c r="E40" s="177">
        <v>14</v>
      </c>
      <c r="F40" s="177">
        <v>45</v>
      </c>
    </row>
    <row r="41" spans="1:6" ht="14.25" customHeight="1">
      <c r="A41" s="588"/>
      <c r="B41" s="115" t="s">
        <v>286</v>
      </c>
      <c r="C41" s="177">
        <v>63</v>
      </c>
      <c r="D41" s="177">
        <v>30</v>
      </c>
      <c r="E41" s="177">
        <v>13</v>
      </c>
      <c r="F41" s="177">
        <v>44</v>
      </c>
    </row>
    <row r="42" spans="1:6" ht="14.25" customHeight="1">
      <c r="A42" s="587" t="s">
        <v>1026</v>
      </c>
      <c r="B42" s="115" t="s">
        <v>285</v>
      </c>
      <c r="C42" s="177">
        <v>295</v>
      </c>
      <c r="D42" s="177">
        <v>87</v>
      </c>
      <c r="E42" s="171" t="s">
        <v>1074</v>
      </c>
      <c r="F42" s="177">
        <v>168</v>
      </c>
    </row>
    <row r="43" spans="1:6" ht="14.25" customHeight="1">
      <c r="A43" s="588"/>
      <c r="B43" s="115" t="s">
        <v>286</v>
      </c>
      <c r="C43" s="177">
        <v>371</v>
      </c>
      <c r="D43" s="177">
        <v>97</v>
      </c>
      <c r="E43" s="171" t="s">
        <v>1074</v>
      </c>
      <c r="F43" s="177">
        <v>188</v>
      </c>
    </row>
    <row r="44" spans="1:6" ht="14.25" customHeight="1">
      <c r="A44" s="587" t="s">
        <v>1027</v>
      </c>
      <c r="B44" s="115" t="s">
        <v>285</v>
      </c>
      <c r="C44" s="177">
        <v>252</v>
      </c>
      <c r="D44" s="177">
        <v>108</v>
      </c>
      <c r="E44" s="177">
        <v>65</v>
      </c>
      <c r="F44" s="177">
        <v>113</v>
      </c>
    </row>
    <row r="45" spans="1:6" ht="14.25" customHeight="1">
      <c r="A45" s="588"/>
      <c r="B45" s="115" t="s">
        <v>286</v>
      </c>
      <c r="C45" s="177">
        <v>94</v>
      </c>
      <c r="D45" s="177">
        <v>47</v>
      </c>
      <c r="E45" s="171" t="s">
        <v>1074</v>
      </c>
      <c r="F45" s="177">
        <v>44</v>
      </c>
    </row>
    <row r="46" spans="1:6" s="437" customFormat="1" ht="14.25" customHeight="1">
      <c r="A46" s="587" t="s">
        <v>1240</v>
      </c>
      <c r="B46" s="115" t="s">
        <v>285</v>
      </c>
      <c r="C46" s="171" t="s">
        <v>1074</v>
      </c>
      <c r="D46" s="171" t="s">
        <v>1074</v>
      </c>
      <c r="E46" s="171" t="s">
        <v>1074</v>
      </c>
      <c r="F46" s="171" t="s">
        <v>1074</v>
      </c>
    </row>
    <row r="47" spans="1:6" s="437" customFormat="1" ht="21.75" customHeight="1">
      <c r="A47" s="587"/>
      <c r="B47" s="115" t="s">
        <v>286</v>
      </c>
      <c r="C47" s="177">
        <v>12</v>
      </c>
      <c r="D47" s="171" t="s">
        <v>1074</v>
      </c>
      <c r="E47" s="171">
        <v>12</v>
      </c>
      <c r="F47" s="171" t="s">
        <v>1074</v>
      </c>
    </row>
    <row r="48" spans="1:6" ht="14.25" customHeight="1">
      <c r="A48" s="587" t="s">
        <v>1028</v>
      </c>
      <c r="B48" s="115" t="s">
        <v>285</v>
      </c>
      <c r="C48" s="177">
        <v>66</v>
      </c>
      <c r="D48" s="177">
        <v>50</v>
      </c>
      <c r="E48" s="177">
        <v>6</v>
      </c>
      <c r="F48" s="177">
        <v>35</v>
      </c>
    </row>
    <row r="49" spans="1:6" ht="14.25" customHeight="1">
      <c r="A49" s="588"/>
      <c r="B49" s="115" t="s">
        <v>286</v>
      </c>
      <c r="C49" s="177">
        <v>72</v>
      </c>
      <c r="D49" s="177">
        <v>48</v>
      </c>
      <c r="E49" s="177">
        <v>16</v>
      </c>
      <c r="F49" s="177">
        <v>33</v>
      </c>
    </row>
    <row r="50" spans="1:6" ht="14.25" customHeight="1">
      <c r="A50" s="587" t="s">
        <v>1029</v>
      </c>
      <c r="B50" s="115" t="s">
        <v>285</v>
      </c>
      <c r="C50" s="177">
        <v>60</v>
      </c>
      <c r="D50" s="177">
        <v>34</v>
      </c>
      <c r="E50" s="177">
        <v>16</v>
      </c>
      <c r="F50" s="177">
        <v>21</v>
      </c>
    </row>
    <row r="51" spans="1:6" ht="14.25" customHeight="1">
      <c r="A51" s="588"/>
      <c r="B51" s="115" t="s">
        <v>286</v>
      </c>
      <c r="C51" s="177">
        <v>58</v>
      </c>
      <c r="D51" s="177">
        <v>30</v>
      </c>
      <c r="E51" s="177">
        <v>18</v>
      </c>
      <c r="F51" s="177">
        <v>12</v>
      </c>
    </row>
    <row r="52" spans="1:6" ht="14.25" customHeight="1">
      <c r="A52" s="587" t="s">
        <v>1030</v>
      </c>
      <c r="B52" s="115" t="s">
        <v>285</v>
      </c>
      <c r="C52" s="177">
        <v>134</v>
      </c>
      <c r="D52" s="177">
        <v>71</v>
      </c>
      <c r="E52" s="177">
        <v>48</v>
      </c>
      <c r="F52" s="177">
        <v>34</v>
      </c>
    </row>
    <row r="53" spans="1:6" ht="14.25" customHeight="1">
      <c r="A53" s="588"/>
      <c r="B53" s="115" t="s">
        <v>286</v>
      </c>
      <c r="C53" s="177">
        <v>137</v>
      </c>
      <c r="D53" s="177">
        <v>73</v>
      </c>
      <c r="E53" s="177">
        <v>49</v>
      </c>
      <c r="F53" s="177">
        <v>35</v>
      </c>
    </row>
    <row r="54" spans="1:6" ht="14.25" customHeight="1">
      <c r="A54" s="587" t="s">
        <v>1031</v>
      </c>
      <c r="B54" s="115" t="s">
        <v>285</v>
      </c>
      <c r="C54" s="177">
        <v>282</v>
      </c>
      <c r="D54" s="177">
        <v>89</v>
      </c>
      <c r="E54" s="177">
        <v>55</v>
      </c>
      <c r="F54" s="177">
        <v>98</v>
      </c>
    </row>
    <row r="55" spans="1:6" ht="14.25" customHeight="1">
      <c r="A55" s="588"/>
      <c r="B55" s="115" t="s">
        <v>286</v>
      </c>
      <c r="C55" s="177">
        <v>403</v>
      </c>
      <c r="D55" s="177">
        <v>151</v>
      </c>
      <c r="E55" s="171" t="s">
        <v>1074</v>
      </c>
      <c r="F55" s="177">
        <v>225</v>
      </c>
    </row>
    <row r="56" spans="1:6" ht="14.25" customHeight="1">
      <c r="A56" s="587" t="s">
        <v>1032</v>
      </c>
      <c r="B56" s="115" t="s">
        <v>285</v>
      </c>
      <c r="C56" s="177">
        <v>252</v>
      </c>
      <c r="D56" s="177">
        <v>92</v>
      </c>
      <c r="E56" s="177">
        <v>85</v>
      </c>
      <c r="F56" s="177">
        <v>89</v>
      </c>
    </row>
    <row r="57" spans="1:6" ht="14.25" customHeight="1">
      <c r="A57" s="588"/>
      <c r="B57" s="115" t="s">
        <v>286</v>
      </c>
      <c r="C57" s="177">
        <v>269</v>
      </c>
      <c r="D57" s="177">
        <v>105</v>
      </c>
      <c r="E57" s="177">
        <v>68</v>
      </c>
      <c r="F57" s="177">
        <v>137</v>
      </c>
    </row>
    <row r="58" spans="1:6" ht="14.25" customHeight="1">
      <c r="A58" s="587" t="s">
        <v>1033</v>
      </c>
      <c r="B58" s="115" t="s">
        <v>285</v>
      </c>
      <c r="C58" s="177">
        <v>40</v>
      </c>
      <c r="D58" s="177">
        <v>20</v>
      </c>
      <c r="E58" s="171" t="s">
        <v>1074</v>
      </c>
      <c r="F58" s="177">
        <v>20</v>
      </c>
    </row>
    <row r="59" spans="1:6" ht="14.25" customHeight="1">
      <c r="A59" s="588"/>
      <c r="B59" s="115" t="s">
        <v>286</v>
      </c>
      <c r="C59" s="177">
        <v>25</v>
      </c>
      <c r="D59" s="177">
        <v>12</v>
      </c>
      <c r="E59" s="171" t="s">
        <v>1074</v>
      </c>
      <c r="F59" s="171" t="s">
        <v>1074</v>
      </c>
    </row>
    <row r="60" spans="1:6" ht="14.25" customHeight="1">
      <c r="A60" s="587" t="s">
        <v>1034</v>
      </c>
      <c r="B60" s="115" t="s">
        <v>285</v>
      </c>
      <c r="C60" s="177">
        <v>726</v>
      </c>
      <c r="D60" s="177">
        <v>272</v>
      </c>
      <c r="E60" s="177">
        <v>167</v>
      </c>
      <c r="F60" s="177">
        <v>408</v>
      </c>
    </row>
    <row r="61" spans="1:6" ht="14.25" customHeight="1">
      <c r="A61" s="588"/>
      <c r="B61" s="115" t="s">
        <v>286</v>
      </c>
      <c r="C61" s="177">
        <v>760</v>
      </c>
      <c r="D61" s="177">
        <v>338</v>
      </c>
      <c r="E61" s="177">
        <v>136</v>
      </c>
      <c r="F61" s="177">
        <v>497</v>
      </c>
    </row>
    <row r="62" spans="1:6" ht="14.25" customHeight="1">
      <c r="A62" s="587" t="s">
        <v>1035</v>
      </c>
      <c r="B62" s="115" t="s">
        <v>285</v>
      </c>
      <c r="C62" s="177">
        <v>169</v>
      </c>
      <c r="D62" s="177">
        <v>64</v>
      </c>
      <c r="E62" s="171" t="s">
        <v>1074</v>
      </c>
      <c r="F62" s="177">
        <v>52</v>
      </c>
    </row>
    <row r="63" spans="1:6" ht="14.25" customHeight="1">
      <c r="A63" s="588"/>
      <c r="B63" s="115" t="s">
        <v>286</v>
      </c>
      <c r="C63" s="177">
        <v>182</v>
      </c>
      <c r="D63" s="177">
        <v>67</v>
      </c>
      <c r="E63" s="171" t="s">
        <v>1074</v>
      </c>
      <c r="F63" s="177">
        <v>62</v>
      </c>
    </row>
    <row r="64" spans="1:6" ht="14.25" customHeight="1">
      <c r="A64" s="587" t="s">
        <v>1036</v>
      </c>
      <c r="B64" s="115" t="s">
        <v>285</v>
      </c>
      <c r="C64" s="177">
        <v>204</v>
      </c>
      <c r="D64" s="177">
        <v>108</v>
      </c>
      <c r="E64" s="177">
        <v>67</v>
      </c>
      <c r="F64" s="177">
        <v>71</v>
      </c>
    </row>
    <row r="65" spans="1:6" ht="14.25" customHeight="1">
      <c r="A65" s="588"/>
      <c r="B65" s="115" t="s">
        <v>286</v>
      </c>
      <c r="C65" s="177">
        <v>245</v>
      </c>
      <c r="D65" s="177">
        <v>126</v>
      </c>
      <c r="E65" s="171">
        <v>25</v>
      </c>
      <c r="F65" s="171">
        <v>114</v>
      </c>
    </row>
    <row r="66" spans="1:6" ht="14.25" customHeight="1">
      <c r="A66" s="587" t="s">
        <v>1037</v>
      </c>
      <c r="B66" s="115" t="s">
        <v>285</v>
      </c>
      <c r="C66" s="177">
        <v>100</v>
      </c>
      <c r="D66" s="177">
        <v>50</v>
      </c>
      <c r="E66" s="177">
        <v>30</v>
      </c>
      <c r="F66" s="177">
        <v>40</v>
      </c>
    </row>
    <row r="67" spans="1:6" ht="14.25" customHeight="1">
      <c r="A67" s="588"/>
      <c r="B67" s="115" t="s">
        <v>286</v>
      </c>
      <c r="C67" s="177">
        <v>131</v>
      </c>
      <c r="D67" s="177">
        <v>65</v>
      </c>
      <c r="E67" s="177">
        <v>27</v>
      </c>
      <c r="F67" s="177">
        <v>40</v>
      </c>
    </row>
    <row r="68" spans="1:6" ht="14.25" customHeight="1">
      <c r="A68" s="587" t="s">
        <v>1038</v>
      </c>
      <c r="B68" s="115" t="s">
        <v>285</v>
      </c>
      <c r="C68" s="177">
        <v>67</v>
      </c>
      <c r="D68" s="177">
        <v>53</v>
      </c>
      <c r="E68" s="171" t="s">
        <v>1074</v>
      </c>
      <c r="F68" s="177">
        <v>19</v>
      </c>
    </row>
    <row r="69" spans="1:6" ht="14.25" customHeight="1">
      <c r="A69" s="588"/>
      <c r="B69" s="115" t="s">
        <v>286</v>
      </c>
      <c r="C69" s="177">
        <v>64</v>
      </c>
      <c r="D69" s="177">
        <v>52</v>
      </c>
      <c r="E69" s="171" t="s">
        <v>1074</v>
      </c>
      <c r="F69" s="177">
        <v>28</v>
      </c>
    </row>
    <row r="70" spans="1:6" s="437" customFormat="1" ht="14.25" customHeight="1">
      <c r="A70" s="587" t="s">
        <v>1039</v>
      </c>
      <c r="B70" s="115" t="s">
        <v>285</v>
      </c>
      <c r="C70" s="177">
        <v>58</v>
      </c>
      <c r="D70" s="177">
        <v>26</v>
      </c>
      <c r="E70" s="171">
        <v>15</v>
      </c>
      <c r="F70" s="177">
        <v>27</v>
      </c>
    </row>
    <row r="71" spans="1:6" s="437" customFormat="1" ht="14.25" customHeight="1">
      <c r="A71" s="588"/>
      <c r="B71" s="115" t="s">
        <v>286</v>
      </c>
      <c r="C71" s="177">
        <v>59</v>
      </c>
      <c r="D71" s="177">
        <v>27</v>
      </c>
      <c r="E71" s="177">
        <v>13</v>
      </c>
      <c r="F71" s="177">
        <v>25</v>
      </c>
    </row>
    <row r="72" spans="1:6" ht="24" customHeight="1">
      <c r="A72" s="587" t="s">
        <v>1040</v>
      </c>
      <c r="B72" s="115" t="s">
        <v>285</v>
      </c>
      <c r="C72" s="177">
        <v>228</v>
      </c>
      <c r="D72" s="177">
        <v>46</v>
      </c>
      <c r="E72" s="171">
        <v>19</v>
      </c>
      <c r="F72" s="177">
        <v>42</v>
      </c>
    </row>
    <row r="73" spans="1:6" ht="24" customHeight="1">
      <c r="A73" s="588"/>
      <c r="B73" s="115" t="s">
        <v>286</v>
      </c>
      <c r="C73" s="177">
        <v>251</v>
      </c>
      <c r="D73" s="177">
        <v>50</v>
      </c>
      <c r="E73" s="171">
        <v>21</v>
      </c>
      <c r="F73" s="177">
        <v>40</v>
      </c>
    </row>
    <row r="74" spans="1:6" ht="14.25" customHeight="1">
      <c r="A74" s="587" t="s">
        <v>1041</v>
      </c>
      <c r="B74" s="115" t="s">
        <v>285</v>
      </c>
      <c r="C74" s="177">
        <v>347</v>
      </c>
      <c r="D74" s="177">
        <v>11</v>
      </c>
      <c r="E74" s="171" t="s">
        <v>1074</v>
      </c>
      <c r="F74" s="177">
        <v>62</v>
      </c>
    </row>
    <row r="75" spans="1:6" ht="14.25" customHeight="1">
      <c r="A75" s="588"/>
      <c r="B75" s="115" t="s">
        <v>286</v>
      </c>
      <c r="C75" s="177">
        <v>367</v>
      </c>
      <c r="D75" s="177">
        <v>18</v>
      </c>
      <c r="E75" s="171">
        <v>7</v>
      </c>
      <c r="F75" s="177">
        <v>76</v>
      </c>
    </row>
    <row r="76" spans="1:6" ht="14.25" customHeight="1">
      <c r="A76" s="587" t="s">
        <v>1042</v>
      </c>
      <c r="B76" s="115" t="s">
        <v>285</v>
      </c>
      <c r="C76" s="177">
        <v>98</v>
      </c>
      <c r="D76" s="177">
        <v>22</v>
      </c>
      <c r="E76" s="171" t="s">
        <v>1074</v>
      </c>
      <c r="F76" s="177">
        <v>23</v>
      </c>
    </row>
    <row r="77" spans="1:6" ht="14.25" customHeight="1">
      <c r="A77" s="588"/>
      <c r="B77" s="115" t="s">
        <v>286</v>
      </c>
      <c r="C77" s="177">
        <v>85</v>
      </c>
      <c r="D77" s="177">
        <v>27</v>
      </c>
      <c r="E77" s="171">
        <v>26</v>
      </c>
      <c r="F77" s="177">
        <v>29</v>
      </c>
    </row>
    <row r="78" spans="1:6" ht="14.25" customHeight="1">
      <c r="A78" s="587" t="s">
        <v>1043</v>
      </c>
      <c r="B78" s="115" t="s">
        <v>285</v>
      </c>
      <c r="C78" s="177">
        <v>73</v>
      </c>
      <c r="D78" s="177">
        <v>36</v>
      </c>
      <c r="E78" s="177">
        <v>5</v>
      </c>
      <c r="F78" s="177">
        <v>35</v>
      </c>
    </row>
    <row r="79" spans="1:6" ht="14.25" customHeight="1">
      <c r="A79" s="588"/>
      <c r="B79" s="115" t="s">
        <v>286</v>
      </c>
      <c r="C79" s="177">
        <v>93</v>
      </c>
      <c r="D79" s="177">
        <v>40</v>
      </c>
      <c r="E79" s="177">
        <v>6</v>
      </c>
      <c r="F79" s="177">
        <v>44</v>
      </c>
    </row>
    <row r="80" spans="1:6" ht="14.25" customHeight="1">
      <c r="A80" s="587" t="s">
        <v>1044</v>
      </c>
      <c r="B80" s="115" t="s">
        <v>285</v>
      </c>
      <c r="C80" s="177">
        <v>107</v>
      </c>
      <c r="D80" s="177">
        <v>47</v>
      </c>
      <c r="E80" s="177">
        <v>15</v>
      </c>
      <c r="F80" s="177">
        <v>51</v>
      </c>
    </row>
    <row r="81" spans="1:6" ht="14.25" customHeight="1">
      <c r="A81" s="588"/>
      <c r="B81" s="115" t="s">
        <v>286</v>
      </c>
      <c r="C81" s="177">
        <v>91</v>
      </c>
      <c r="D81" s="177">
        <v>41</v>
      </c>
      <c r="E81" s="177">
        <v>5</v>
      </c>
      <c r="F81" s="177">
        <v>54</v>
      </c>
    </row>
    <row r="82" spans="1:6" ht="14.25" customHeight="1">
      <c r="A82" s="587" t="s">
        <v>1045</v>
      </c>
      <c r="B82" s="115" t="s">
        <v>285</v>
      </c>
      <c r="C82" s="177">
        <v>22</v>
      </c>
      <c r="D82" s="177">
        <v>11</v>
      </c>
      <c r="E82" s="177">
        <v>9</v>
      </c>
      <c r="F82" s="177">
        <v>6</v>
      </c>
    </row>
    <row r="83" spans="1:6" ht="14.25" customHeight="1">
      <c r="A83" s="588"/>
      <c r="B83" s="115" t="s">
        <v>286</v>
      </c>
      <c r="C83" s="177">
        <v>25</v>
      </c>
      <c r="D83" s="177">
        <v>12</v>
      </c>
      <c r="E83" s="177">
        <v>6</v>
      </c>
      <c r="F83" s="177">
        <v>12</v>
      </c>
    </row>
    <row r="84" spans="1:6" ht="14.25" customHeight="1">
      <c r="A84" s="587" t="s">
        <v>1046</v>
      </c>
      <c r="B84" s="115" t="s">
        <v>285</v>
      </c>
      <c r="C84" s="177">
        <v>368</v>
      </c>
      <c r="D84" s="177">
        <v>135</v>
      </c>
      <c r="E84" s="177">
        <v>64</v>
      </c>
      <c r="F84" s="171">
        <v>235</v>
      </c>
    </row>
    <row r="85" spans="1:6" ht="14.25" customHeight="1">
      <c r="A85" s="588"/>
      <c r="B85" s="115" t="s">
        <v>286</v>
      </c>
      <c r="C85" s="177">
        <v>437</v>
      </c>
      <c r="D85" s="177">
        <v>178</v>
      </c>
      <c r="E85" s="177">
        <v>49</v>
      </c>
      <c r="F85" s="171">
        <v>228</v>
      </c>
    </row>
    <row r="86" spans="1:6" ht="14.25" customHeight="1">
      <c r="A86" s="587" t="s">
        <v>1048</v>
      </c>
      <c r="B86" s="115" t="s">
        <v>285</v>
      </c>
      <c r="C86" s="177">
        <v>260</v>
      </c>
      <c r="D86" s="177">
        <v>141</v>
      </c>
      <c r="E86" s="177">
        <v>76</v>
      </c>
      <c r="F86" s="177">
        <v>87</v>
      </c>
    </row>
    <row r="87" spans="1:6" ht="14.25" customHeight="1">
      <c r="A87" s="588"/>
      <c r="B87" s="115" t="s">
        <v>286</v>
      </c>
      <c r="C87" s="177">
        <v>309</v>
      </c>
      <c r="D87" s="177">
        <v>159</v>
      </c>
      <c r="E87" s="177">
        <v>86</v>
      </c>
      <c r="F87" s="177">
        <v>110</v>
      </c>
    </row>
    <row r="88" spans="1:6" ht="14.25" customHeight="1">
      <c r="A88" s="587" t="s">
        <v>1049</v>
      </c>
      <c r="B88" s="115" t="s">
        <v>285</v>
      </c>
      <c r="C88" s="177">
        <v>9</v>
      </c>
      <c r="D88" s="177">
        <v>3</v>
      </c>
      <c r="E88" s="171" t="s">
        <v>1074</v>
      </c>
      <c r="F88" s="171">
        <v>2</v>
      </c>
    </row>
    <row r="89" spans="1:6" ht="14.25" customHeight="1">
      <c r="A89" s="588"/>
      <c r="B89" s="115" t="s">
        <v>286</v>
      </c>
      <c r="C89" s="171">
        <v>11</v>
      </c>
      <c r="D89" s="171">
        <v>4</v>
      </c>
      <c r="E89" s="171" t="s">
        <v>1074</v>
      </c>
      <c r="F89" s="171">
        <v>6</v>
      </c>
    </row>
    <row r="90" spans="1:6" ht="14.25" customHeight="1">
      <c r="A90" s="587" t="s">
        <v>1050</v>
      </c>
      <c r="B90" s="115" t="s">
        <v>285</v>
      </c>
      <c r="C90" s="177">
        <v>224</v>
      </c>
      <c r="D90" s="177">
        <v>58</v>
      </c>
      <c r="E90" s="177">
        <v>22</v>
      </c>
      <c r="F90" s="177">
        <v>110</v>
      </c>
    </row>
    <row r="91" spans="1:6" ht="14.25" customHeight="1">
      <c r="A91" s="588"/>
      <c r="B91" s="115" t="s">
        <v>286</v>
      </c>
      <c r="C91" s="177">
        <v>262</v>
      </c>
      <c r="D91" s="177">
        <v>72</v>
      </c>
      <c r="E91" s="171" t="s">
        <v>1074</v>
      </c>
      <c r="F91" s="177">
        <v>169</v>
      </c>
    </row>
    <row r="92" spans="1:6" ht="14.25" customHeight="1">
      <c r="A92" s="587" t="s">
        <v>1051</v>
      </c>
      <c r="B92" s="115" t="s">
        <v>285</v>
      </c>
      <c r="C92" s="177">
        <v>38</v>
      </c>
      <c r="D92" s="177">
        <v>15</v>
      </c>
      <c r="E92" s="177">
        <v>10</v>
      </c>
      <c r="F92" s="177">
        <v>20</v>
      </c>
    </row>
    <row r="93" spans="1:6" ht="14.25" customHeight="1">
      <c r="A93" s="588"/>
      <c r="B93" s="115" t="s">
        <v>286</v>
      </c>
      <c r="C93" s="177">
        <v>94</v>
      </c>
      <c r="D93" s="177">
        <v>44</v>
      </c>
      <c r="E93" s="177">
        <v>19</v>
      </c>
      <c r="F93" s="177">
        <v>63</v>
      </c>
    </row>
    <row r="94" spans="1:6" ht="14.25" customHeight="1">
      <c r="A94" s="587" t="s">
        <v>1052</v>
      </c>
      <c r="B94" s="115" t="s">
        <v>285</v>
      </c>
      <c r="C94" s="177">
        <v>24</v>
      </c>
      <c r="D94" s="171">
        <v>12</v>
      </c>
      <c r="E94" s="171" t="s">
        <v>1074</v>
      </c>
      <c r="F94" s="171">
        <v>24</v>
      </c>
    </row>
    <row r="95" spans="1:6" ht="14.25" customHeight="1">
      <c r="A95" s="588"/>
      <c r="B95" s="115" t="s">
        <v>286</v>
      </c>
      <c r="C95" s="177">
        <v>27</v>
      </c>
      <c r="D95" s="171">
        <v>9</v>
      </c>
      <c r="E95" s="171" t="s">
        <v>1074</v>
      </c>
      <c r="F95" s="171">
        <v>18</v>
      </c>
    </row>
    <row r="96" spans="1:6" ht="14.25" customHeight="1">
      <c r="A96" s="587" t="s">
        <v>1053</v>
      </c>
      <c r="B96" s="115" t="s">
        <v>285</v>
      </c>
      <c r="C96" s="177">
        <v>196</v>
      </c>
      <c r="D96" s="177">
        <v>41</v>
      </c>
      <c r="E96" s="171">
        <v>32</v>
      </c>
      <c r="F96" s="177">
        <v>64</v>
      </c>
    </row>
    <row r="97" spans="1:6" ht="14.25" customHeight="1">
      <c r="A97" s="588"/>
      <c r="B97" s="115" t="s">
        <v>286</v>
      </c>
      <c r="C97" s="177">
        <v>225</v>
      </c>
      <c r="D97" s="171">
        <v>64</v>
      </c>
      <c r="E97" s="171">
        <v>36</v>
      </c>
      <c r="F97" s="177">
        <v>80</v>
      </c>
    </row>
    <row r="98" spans="1:6" ht="14.25" customHeight="1">
      <c r="A98" s="587" t="s">
        <v>1242</v>
      </c>
      <c r="B98" s="115" t="s">
        <v>285</v>
      </c>
      <c r="C98" s="177">
        <v>17</v>
      </c>
      <c r="D98" s="171" t="s">
        <v>1074</v>
      </c>
      <c r="E98" s="171" t="s">
        <v>1074</v>
      </c>
      <c r="F98" s="171" t="s">
        <v>1074</v>
      </c>
    </row>
    <row r="99" spans="1:6" ht="14.25" customHeight="1">
      <c r="A99" s="588"/>
      <c r="B99" s="115" t="s">
        <v>286</v>
      </c>
      <c r="C99" s="177">
        <v>13</v>
      </c>
      <c r="D99" s="171" t="s">
        <v>1074</v>
      </c>
      <c r="E99" s="171" t="s">
        <v>1074</v>
      </c>
      <c r="F99" s="171" t="s">
        <v>1074</v>
      </c>
    </row>
    <row r="100" spans="1:6" ht="14.25" customHeight="1">
      <c r="A100" s="587" t="s">
        <v>1054</v>
      </c>
      <c r="B100" s="115" t="s">
        <v>285</v>
      </c>
      <c r="C100" s="177">
        <v>22</v>
      </c>
      <c r="D100" s="177">
        <v>5</v>
      </c>
      <c r="E100" s="177">
        <v>3</v>
      </c>
      <c r="F100" s="177">
        <v>5</v>
      </c>
    </row>
    <row r="101" spans="1:6" ht="21" customHeight="1">
      <c r="A101" s="588"/>
      <c r="B101" s="115" t="s">
        <v>286</v>
      </c>
      <c r="C101" s="177">
        <v>19</v>
      </c>
      <c r="D101" s="177">
        <v>4</v>
      </c>
      <c r="E101" s="177">
        <v>3</v>
      </c>
      <c r="F101" s="177">
        <v>7</v>
      </c>
    </row>
    <row r="102" spans="1:6" ht="14.25" customHeight="1">
      <c r="A102" s="587" t="s">
        <v>1236</v>
      </c>
      <c r="B102" s="115" t="s">
        <v>285</v>
      </c>
      <c r="C102" s="177">
        <v>126</v>
      </c>
      <c r="D102" s="177">
        <v>114</v>
      </c>
      <c r="E102" s="171" t="s">
        <v>1074</v>
      </c>
      <c r="F102" s="171">
        <v>106</v>
      </c>
    </row>
    <row r="103" spans="1:6" ht="21" customHeight="1">
      <c r="A103" s="588"/>
      <c r="B103" s="115" t="s">
        <v>286</v>
      </c>
      <c r="C103" s="171">
        <v>123</v>
      </c>
      <c r="D103" s="171">
        <v>118</v>
      </c>
      <c r="E103" s="171" t="s">
        <v>1074</v>
      </c>
      <c r="F103" s="171">
        <v>98</v>
      </c>
    </row>
    <row r="104" spans="1:6" ht="14.25" customHeight="1">
      <c r="A104" s="587" t="s">
        <v>1056</v>
      </c>
      <c r="B104" s="115" t="s">
        <v>285</v>
      </c>
      <c r="C104" s="177">
        <v>28</v>
      </c>
      <c r="D104" s="177">
        <v>11</v>
      </c>
      <c r="E104" s="177">
        <v>2</v>
      </c>
      <c r="F104" s="177">
        <v>22</v>
      </c>
    </row>
    <row r="105" spans="1:6" ht="14.25" customHeight="1">
      <c r="A105" s="588"/>
      <c r="B105" s="115" t="s">
        <v>286</v>
      </c>
      <c r="C105" s="177">
        <v>25</v>
      </c>
      <c r="D105" s="177">
        <v>11</v>
      </c>
      <c r="E105" s="177">
        <v>2</v>
      </c>
      <c r="F105" s="177">
        <v>16</v>
      </c>
    </row>
    <row r="106" spans="1:6" ht="14.25" customHeight="1">
      <c r="A106" s="587" t="s">
        <v>1057</v>
      </c>
      <c r="B106" s="115" t="s">
        <v>285</v>
      </c>
      <c r="C106" s="177">
        <v>80</v>
      </c>
      <c r="D106" s="177">
        <v>28</v>
      </c>
      <c r="E106" s="177">
        <v>3</v>
      </c>
      <c r="F106" s="177">
        <v>33</v>
      </c>
    </row>
    <row r="107" spans="1:6" ht="14.25" customHeight="1">
      <c r="A107" s="588"/>
      <c r="B107" s="115" t="s">
        <v>286</v>
      </c>
      <c r="C107" s="177">
        <v>81</v>
      </c>
      <c r="D107" s="177">
        <v>29</v>
      </c>
      <c r="E107" s="177">
        <v>3</v>
      </c>
      <c r="F107" s="177">
        <v>33</v>
      </c>
    </row>
    <row r="108" spans="1:6" ht="14.25" customHeight="1">
      <c r="A108" s="587" t="s">
        <v>1058</v>
      </c>
      <c r="B108" s="115" t="s">
        <v>285</v>
      </c>
      <c r="C108" s="177">
        <v>389</v>
      </c>
      <c r="D108" s="177">
        <v>167</v>
      </c>
      <c r="E108" s="171" t="s">
        <v>1074</v>
      </c>
      <c r="F108" s="177">
        <v>154</v>
      </c>
    </row>
    <row r="109" spans="1:6" ht="14.25" customHeight="1">
      <c r="A109" s="588"/>
      <c r="B109" s="115" t="s">
        <v>286</v>
      </c>
      <c r="C109" s="177">
        <v>408</v>
      </c>
      <c r="D109" s="177">
        <v>167</v>
      </c>
      <c r="E109" s="171">
        <v>74</v>
      </c>
      <c r="F109" s="177">
        <v>104</v>
      </c>
    </row>
    <row r="110" spans="1:6" ht="14.25" customHeight="1">
      <c r="A110" s="587" t="s">
        <v>1055</v>
      </c>
      <c r="B110" s="115" t="s">
        <v>285</v>
      </c>
      <c r="C110" s="177">
        <v>66</v>
      </c>
      <c r="D110" s="177">
        <v>31</v>
      </c>
      <c r="E110" s="177">
        <v>31</v>
      </c>
      <c r="F110" s="171" t="s">
        <v>1074</v>
      </c>
    </row>
    <row r="111" spans="1:6" ht="14.25" customHeight="1">
      <c r="A111" s="588"/>
      <c r="B111" s="115" t="s">
        <v>286</v>
      </c>
      <c r="C111" s="177">
        <v>75</v>
      </c>
      <c r="D111" s="177">
        <v>37</v>
      </c>
      <c r="E111" s="177">
        <v>26</v>
      </c>
      <c r="F111" s="177">
        <v>10</v>
      </c>
    </row>
    <row r="112" spans="1:6" ht="14.25" customHeight="1">
      <c r="A112" s="587" t="s">
        <v>1059</v>
      </c>
      <c r="B112" s="115" t="s">
        <v>285</v>
      </c>
      <c r="C112" s="177">
        <v>29</v>
      </c>
      <c r="D112" s="177">
        <v>11</v>
      </c>
      <c r="E112" s="171">
        <v>17</v>
      </c>
      <c r="F112" s="171" t="s">
        <v>1074</v>
      </c>
    </row>
    <row r="113" spans="1:6" ht="14.25" customHeight="1">
      <c r="A113" s="587"/>
      <c r="B113" s="115" t="s">
        <v>286</v>
      </c>
      <c r="C113" s="177">
        <v>48</v>
      </c>
      <c r="D113" s="177">
        <v>16</v>
      </c>
      <c r="E113" s="177">
        <v>18</v>
      </c>
      <c r="F113" s="177">
        <v>17</v>
      </c>
    </row>
    <row r="114" spans="1:6" ht="14.25" customHeight="1">
      <c r="A114" s="587" t="s">
        <v>1060</v>
      </c>
      <c r="B114" s="115" t="s">
        <v>285</v>
      </c>
      <c r="C114" s="177">
        <v>132</v>
      </c>
      <c r="D114" s="177">
        <v>61</v>
      </c>
      <c r="E114" s="177">
        <v>14</v>
      </c>
      <c r="F114" s="177">
        <v>71</v>
      </c>
    </row>
    <row r="115" spans="1:6" ht="14.25" customHeight="1">
      <c r="A115" s="588"/>
      <c r="B115" s="115" t="s">
        <v>286</v>
      </c>
      <c r="C115" s="177">
        <v>128</v>
      </c>
      <c r="D115" s="177">
        <v>60</v>
      </c>
      <c r="E115" s="177">
        <v>24</v>
      </c>
      <c r="F115" s="177">
        <v>65</v>
      </c>
    </row>
    <row r="116" spans="1:6" ht="14.25" customHeight="1">
      <c r="A116" s="587" t="s">
        <v>1061</v>
      </c>
      <c r="B116" s="115" t="s">
        <v>285</v>
      </c>
      <c r="C116" s="177">
        <v>135</v>
      </c>
      <c r="D116" s="177">
        <v>43</v>
      </c>
      <c r="E116" s="177">
        <v>60</v>
      </c>
      <c r="F116" s="177">
        <v>40</v>
      </c>
    </row>
    <row r="117" spans="1:6" ht="14.25" customHeight="1">
      <c r="A117" s="588"/>
      <c r="B117" s="115" t="s">
        <v>286</v>
      </c>
      <c r="C117" s="171">
        <v>135</v>
      </c>
      <c r="D117" s="171">
        <v>43</v>
      </c>
      <c r="E117" s="171">
        <v>60</v>
      </c>
      <c r="F117" s="171">
        <v>40</v>
      </c>
    </row>
    <row r="118" spans="1:6" s="437" customFormat="1" ht="14.25" customHeight="1">
      <c r="A118" s="587" t="s">
        <v>1241</v>
      </c>
      <c r="B118" s="115" t="s">
        <v>285</v>
      </c>
      <c r="C118" s="171" t="s">
        <v>1237</v>
      </c>
      <c r="D118" s="171" t="s">
        <v>1237</v>
      </c>
      <c r="E118" s="171" t="s">
        <v>1237</v>
      </c>
      <c r="F118" s="171" t="s">
        <v>1237</v>
      </c>
    </row>
    <row r="119" spans="1:6" s="437" customFormat="1" ht="14.25" customHeight="1">
      <c r="A119" s="587"/>
      <c r="B119" s="115" t="s">
        <v>286</v>
      </c>
      <c r="C119" s="171">
        <v>17</v>
      </c>
      <c r="D119" s="171">
        <v>8</v>
      </c>
      <c r="E119" s="171" t="s">
        <v>1074</v>
      </c>
      <c r="F119" s="171">
        <v>11</v>
      </c>
    </row>
    <row r="120" spans="1:6" ht="14.25" customHeight="1">
      <c r="A120" s="587" t="s">
        <v>1062</v>
      </c>
      <c r="B120" s="115" t="s">
        <v>285</v>
      </c>
      <c r="C120" s="177">
        <v>241</v>
      </c>
      <c r="D120" s="177">
        <v>75</v>
      </c>
      <c r="E120" s="177">
        <v>4</v>
      </c>
      <c r="F120" s="177">
        <v>125</v>
      </c>
    </row>
    <row r="121" spans="1:6" ht="14.25" customHeight="1">
      <c r="A121" s="588"/>
      <c r="B121" s="115" t="s">
        <v>286</v>
      </c>
      <c r="C121" s="177">
        <v>247</v>
      </c>
      <c r="D121" s="177">
        <v>93</v>
      </c>
      <c r="E121" s="177">
        <v>7</v>
      </c>
      <c r="F121" s="177">
        <v>175</v>
      </c>
    </row>
    <row r="122" spans="1:6" ht="14.25" customHeight="1">
      <c r="A122" s="587" t="s">
        <v>1063</v>
      </c>
      <c r="B122" s="115" t="s">
        <v>285</v>
      </c>
      <c r="C122" s="177">
        <v>255</v>
      </c>
      <c r="D122" s="177">
        <v>120</v>
      </c>
      <c r="E122" s="177">
        <v>55</v>
      </c>
      <c r="F122" s="177">
        <v>124</v>
      </c>
    </row>
    <row r="123" spans="1:6" ht="14.25" customHeight="1">
      <c r="A123" s="588"/>
      <c r="B123" s="115" t="s">
        <v>286</v>
      </c>
      <c r="C123" s="177">
        <v>287</v>
      </c>
      <c r="D123" s="177">
        <v>134</v>
      </c>
      <c r="E123" s="177">
        <v>62</v>
      </c>
      <c r="F123" s="177">
        <v>143</v>
      </c>
    </row>
    <row r="124" spans="1:6" ht="14.25" customHeight="1">
      <c r="A124" s="587" t="s">
        <v>1064</v>
      </c>
      <c r="B124" s="115" t="s">
        <v>285</v>
      </c>
      <c r="C124" s="177">
        <v>98</v>
      </c>
      <c r="D124" s="177">
        <v>51</v>
      </c>
      <c r="E124" s="177">
        <v>48</v>
      </c>
      <c r="F124" s="177">
        <v>43</v>
      </c>
    </row>
    <row r="125" spans="1:6" ht="20.25" customHeight="1">
      <c r="A125" s="588"/>
      <c r="B125" s="115" t="s">
        <v>286</v>
      </c>
      <c r="C125" s="177">
        <v>100</v>
      </c>
      <c r="D125" s="177">
        <v>44</v>
      </c>
      <c r="E125" s="177">
        <v>30</v>
      </c>
      <c r="F125" s="177">
        <v>46</v>
      </c>
    </row>
    <row r="126" spans="1:6" ht="14.25" customHeight="1">
      <c r="A126" s="587" t="s">
        <v>1065</v>
      </c>
      <c r="B126" s="115" t="s">
        <v>285</v>
      </c>
      <c r="C126" s="177">
        <v>186</v>
      </c>
      <c r="D126" s="177">
        <v>81</v>
      </c>
      <c r="E126" s="177">
        <v>20</v>
      </c>
      <c r="F126" s="177">
        <v>133</v>
      </c>
    </row>
    <row r="127" spans="1:6" ht="14.25" customHeight="1">
      <c r="A127" s="588"/>
      <c r="B127" s="115" t="s">
        <v>286</v>
      </c>
      <c r="C127" s="177">
        <v>182</v>
      </c>
      <c r="D127" s="177">
        <v>80</v>
      </c>
      <c r="E127" s="177">
        <v>18</v>
      </c>
      <c r="F127" s="177">
        <v>133</v>
      </c>
    </row>
    <row r="128" spans="1:6" ht="14.25" customHeight="1">
      <c r="A128" s="587" t="s">
        <v>1066</v>
      </c>
      <c r="B128" s="115" t="s">
        <v>285</v>
      </c>
      <c r="C128" s="177">
        <v>22</v>
      </c>
      <c r="D128" s="177">
        <v>10</v>
      </c>
      <c r="E128" s="177">
        <v>5</v>
      </c>
      <c r="F128" s="177">
        <v>8</v>
      </c>
    </row>
    <row r="129" spans="1:6" ht="14.25" customHeight="1">
      <c r="A129" s="588"/>
      <c r="B129" s="115" t="s">
        <v>286</v>
      </c>
      <c r="C129" s="177">
        <v>20</v>
      </c>
      <c r="D129" s="177">
        <v>10</v>
      </c>
      <c r="E129" s="177">
        <v>4</v>
      </c>
      <c r="F129" s="177">
        <v>8</v>
      </c>
    </row>
    <row r="130" spans="1:6" ht="14.25" customHeight="1">
      <c r="A130" s="587" t="s">
        <v>1067</v>
      </c>
      <c r="B130" s="115" t="s">
        <v>285</v>
      </c>
      <c r="C130" s="177">
        <v>99</v>
      </c>
      <c r="D130" s="177">
        <v>43</v>
      </c>
      <c r="E130" s="177">
        <v>33</v>
      </c>
      <c r="F130" s="177">
        <v>20</v>
      </c>
    </row>
    <row r="131" spans="1:6" ht="14.25" customHeight="1">
      <c r="A131" s="588"/>
      <c r="B131" s="115" t="s">
        <v>286</v>
      </c>
      <c r="C131" s="177">
        <v>118</v>
      </c>
      <c r="D131" s="177">
        <v>54</v>
      </c>
      <c r="E131" s="177">
        <v>31</v>
      </c>
      <c r="F131" s="177">
        <v>56</v>
      </c>
    </row>
    <row r="132" spans="1:6" ht="14.25" customHeight="1">
      <c r="A132" s="587" t="s">
        <v>1068</v>
      </c>
      <c r="B132" s="115" t="s">
        <v>285</v>
      </c>
      <c r="C132" s="177">
        <v>34</v>
      </c>
      <c r="D132" s="177">
        <v>14</v>
      </c>
      <c r="E132" s="177">
        <v>17</v>
      </c>
      <c r="F132" s="177">
        <v>10</v>
      </c>
    </row>
    <row r="133" spans="1:6" ht="14.25" customHeight="1">
      <c r="A133" s="588"/>
      <c r="B133" s="115" t="s">
        <v>286</v>
      </c>
      <c r="C133" s="177">
        <v>31</v>
      </c>
      <c r="D133" s="177">
        <v>13</v>
      </c>
      <c r="E133" s="177">
        <v>16</v>
      </c>
      <c r="F133" s="177">
        <v>9</v>
      </c>
    </row>
    <row r="134" spans="1:6" ht="14.25" customHeight="1">
      <c r="A134" s="587" t="s">
        <v>1069</v>
      </c>
      <c r="B134" s="115" t="s">
        <v>285</v>
      </c>
      <c r="C134" s="177">
        <v>120</v>
      </c>
      <c r="D134" s="177">
        <v>60</v>
      </c>
      <c r="E134" s="171" t="s">
        <v>1074</v>
      </c>
      <c r="F134" s="177">
        <v>60</v>
      </c>
    </row>
    <row r="135" spans="1:6" ht="14.25" customHeight="1">
      <c r="A135" s="588"/>
      <c r="B135" s="115" t="s">
        <v>286</v>
      </c>
      <c r="C135" s="177">
        <v>145</v>
      </c>
      <c r="D135" s="177">
        <v>80</v>
      </c>
      <c r="E135" s="171" t="s">
        <v>1074</v>
      </c>
      <c r="F135" s="177">
        <v>82</v>
      </c>
    </row>
    <row r="136" spans="1:6" ht="14.25" customHeight="1">
      <c r="A136" s="587" t="s">
        <v>1070</v>
      </c>
      <c r="B136" s="115" t="s">
        <v>285</v>
      </c>
      <c r="C136" s="177">
        <v>82</v>
      </c>
      <c r="D136" s="177">
        <v>35</v>
      </c>
      <c r="E136" s="171" t="s">
        <v>1074</v>
      </c>
      <c r="F136" s="177">
        <v>37</v>
      </c>
    </row>
    <row r="137" spans="1:6" ht="14.25" customHeight="1">
      <c r="A137" s="588"/>
      <c r="B137" s="115" t="s">
        <v>286</v>
      </c>
      <c r="C137" s="177">
        <v>44</v>
      </c>
      <c r="D137" s="177">
        <v>10</v>
      </c>
      <c r="E137" s="171" t="s">
        <v>1074</v>
      </c>
      <c r="F137" s="177">
        <v>16</v>
      </c>
    </row>
    <row r="138" spans="1:6" ht="14.25" customHeight="1">
      <c r="A138" s="587" t="s">
        <v>1071</v>
      </c>
      <c r="B138" s="115" t="s">
        <v>285</v>
      </c>
      <c r="C138" s="177">
        <v>134</v>
      </c>
      <c r="D138" s="177">
        <v>48</v>
      </c>
      <c r="E138" s="177">
        <v>37</v>
      </c>
      <c r="F138" s="177">
        <v>53</v>
      </c>
    </row>
    <row r="139" spans="1:6" ht="14.25" customHeight="1">
      <c r="A139" s="588"/>
      <c r="B139" s="115" t="s">
        <v>286</v>
      </c>
      <c r="C139" s="177">
        <v>120</v>
      </c>
      <c r="D139" s="177">
        <v>37</v>
      </c>
      <c r="E139" s="171">
        <v>41</v>
      </c>
      <c r="F139" s="171">
        <v>46</v>
      </c>
    </row>
    <row r="140" spans="1:6" ht="14.25" customHeight="1">
      <c r="A140" s="587" t="s">
        <v>1072</v>
      </c>
      <c r="B140" s="115" t="s">
        <v>285</v>
      </c>
      <c r="C140" s="177">
        <v>236</v>
      </c>
      <c r="D140" s="177">
        <v>94</v>
      </c>
      <c r="E140" s="177">
        <v>36</v>
      </c>
      <c r="F140" s="177">
        <v>157</v>
      </c>
    </row>
    <row r="141" spans="1:6" ht="14.25" customHeight="1">
      <c r="A141" s="588"/>
      <c r="B141" s="115" t="s">
        <v>286</v>
      </c>
      <c r="C141" s="177">
        <v>200</v>
      </c>
      <c r="D141" s="177">
        <v>91</v>
      </c>
      <c r="E141" s="177">
        <v>34</v>
      </c>
      <c r="F141" s="177">
        <v>147</v>
      </c>
    </row>
    <row r="142" spans="1:6" s="320" customFormat="1" ht="15.65" customHeight="1">
      <c r="A142" s="562" t="s">
        <v>1238</v>
      </c>
      <c r="B142" s="115" t="s">
        <v>285</v>
      </c>
      <c r="C142" s="171" t="s">
        <v>1237</v>
      </c>
      <c r="D142" s="171" t="s">
        <v>1237</v>
      </c>
      <c r="E142" s="171" t="s">
        <v>1237</v>
      </c>
      <c r="F142" s="171" t="s">
        <v>1237</v>
      </c>
    </row>
    <row r="143" spans="1:6" s="320" customFormat="1" ht="21" customHeight="1">
      <c r="A143" s="562"/>
      <c r="B143" s="115" t="s">
        <v>286</v>
      </c>
      <c r="C143" s="113">
        <v>24</v>
      </c>
      <c r="D143" s="321">
        <v>12</v>
      </c>
      <c r="E143" s="171" t="s">
        <v>1074</v>
      </c>
      <c r="F143" s="321">
        <v>12</v>
      </c>
    </row>
    <row r="144" spans="1:6" ht="14.25" customHeight="1">
      <c r="A144" s="587" t="s">
        <v>1138</v>
      </c>
      <c r="B144" s="115" t="s">
        <v>285</v>
      </c>
      <c r="C144" s="177">
        <v>93</v>
      </c>
      <c r="D144" s="171" t="s">
        <v>1074</v>
      </c>
      <c r="E144" s="171" t="s">
        <v>1074</v>
      </c>
      <c r="F144" s="177">
        <v>16</v>
      </c>
    </row>
    <row r="145" spans="1:6" ht="30.75" customHeight="1">
      <c r="A145" s="588"/>
      <c r="B145" s="115" t="s">
        <v>286</v>
      </c>
      <c r="C145" s="177">
        <v>93</v>
      </c>
      <c r="D145" s="171" t="s">
        <v>1074</v>
      </c>
      <c r="E145" s="171" t="s">
        <v>1074</v>
      </c>
      <c r="F145" s="177">
        <v>16</v>
      </c>
    </row>
    <row r="146" spans="1:6" ht="14.25" customHeight="1">
      <c r="A146" s="587" t="s">
        <v>1047</v>
      </c>
      <c r="B146" s="115" t="s">
        <v>285</v>
      </c>
      <c r="C146" s="177">
        <v>207</v>
      </c>
      <c r="D146" s="177">
        <v>89</v>
      </c>
      <c r="E146" s="171">
        <v>60</v>
      </c>
      <c r="F146" s="177">
        <v>65</v>
      </c>
    </row>
    <row r="147" spans="1:6" ht="14.25" customHeight="1">
      <c r="A147" s="588"/>
      <c r="B147" s="115" t="s">
        <v>286</v>
      </c>
      <c r="C147" s="177">
        <v>239</v>
      </c>
      <c r="D147" s="177">
        <v>92</v>
      </c>
      <c r="E147" s="177">
        <v>55</v>
      </c>
      <c r="F147" s="177">
        <v>102</v>
      </c>
    </row>
    <row r="149" spans="1:6" ht="28.5" customHeight="1">
      <c r="A149" s="578" t="s">
        <v>1391</v>
      </c>
      <c r="B149" s="578"/>
      <c r="C149" s="578"/>
      <c r="D149" s="578"/>
      <c r="E149" s="578"/>
      <c r="F149" s="578"/>
    </row>
    <row r="150" spans="1:6" ht="30" customHeight="1">
      <c r="A150" s="578" t="s">
        <v>1376</v>
      </c>
      <c r="B150" s="578"/>
      <c r="C150" s="578"/>
      <c r="D150" s="578"/>
      <c r="E150" s="578"/>
      <c r="F150" s="578"/>
    </row>
  </sheetData>
  <mergeCells count="80">
    <mergeCell ref="A150:F150"/>
    <mergeCell ref="A130:A131"/>
    <mergeCell ref="A112:A113"/>
    <mergeCell ref="A114:A115"/>
    <mergeCell ref="A116:A117"/>
    <mergeCell ref="A120:A121"/>
    <mergeCell ref="A122:A123"/>
    <mergeCell ref="A124:A125"/>
    <mergeCell ref="A126:A127"/>
    <mergeCell ref="A128:A129"/>
    <mergeCell ref="A140:A141"/>
    <mergeCell ref="A132:A133"/>
    <mergeCell ref="A134:A135"/>
    <mergeCell ref="A136:A137"/>
    <mergeCell ref="A138:A139"/>
    <mergeCell ref="A149:F149"/>
    <mergeCell ref="A108:A109"/>
    <mergeCell ref="A146:A147"/>
    <mergeCell ref="A86:A87"/>
    <mergeCell ref="A88:A89"/>
    <mergeCell ref="A90:A91"/>
    <mergeCell ref="A92:A93"/>
    <mergeCell ref="A94:A95"/>
    <mergeCell ref="A96:A97"/>
    <mergeCell ref="A98:A99"/>
    <mergeCell ref="A100:A101"/>
    <mergeCell ref="A104:A105"/>
    <mergeCell ref="A106:A107"/>
    <mergeCell ref="A110:A111"/>
    <mergeCell ref="A118:A119"/>
    <mergeCell ref="A142:A143"/>
    <mergeCell ref="A12:A13"/>
    <mergeCell ref="A82:A83"/>
    <mergeCell ref="A14:A15"/>
    <mergeCell ref="A46:A47"/>
    <mergeCell ref="A66:A67"/>
    <mergeCell ref="A68:A69"/>
    <mergeCell ref="A70:A71"/>
    <mergeCell ref="A72:A73"/>
    <mergeCell ref="A74:A75"/>
    <mergeCell ref="A24:A25"/>
    <mergeCell ref="A22:A23"/>
    <mergeCell ref="A48:A49"/>
    <mergeCell ref="A26:A27"/>
    <mergeCell ref="A28:A29"/>
    <mergeCell ref="A30:A31"/>
    <mergeCell ref="A32:A33"/>
    <mergeCell ref="A1:F1"/>
    <mergeCell ref="E3:F3"/>
    <mergeCell ref="A4:B5"/>
    <mergeCell ref="C4:C5"/>
    <mergeCell ref="D4:D5"/>
    <mergeCell ref="E4:F4"/>
    <mergeCell ref="A2:F2"/>
    <mergeCell ref="A6:A7"/>
    <mergeCell ref="A8:A9"/>
    <mergeCell ref="A16:A17"/>
    <mergeCell ref="A20:A21"/>
    <mergeCell ref="A144:A145"/>
    <mergeCell ref="A18:A19"/>
    <mergeCell ref="A10:A11"/>
    <mergeCell ref="A42:A43"/>
    <mergeCell ref="A44:A45"/>
    <mergeCell ref="A36:A37"/>
    <mergeCell ref="A50:A51"/>
    <mergeCell ref="A52:A53"/>
    <mergeCell ref="A54:A55"/>
    <mergeCell ref="A56:A57"/>
    <mergeCell ref="A84:A85"/>
    <mergeCell ref="A76:A77"/>
    <mergeCell ref="A34:A35"/>
    <mergeCell ref="A102:A103"/>
    <mergeCell ref="A38:A39"/>
    <mergeCell ref="A40:A41"/>
    <mergeCell ref="A58:A59"/>
    <mergeCell ref="A60:A61"/>
    <mergeCell ref="A62:A63"/>
    <mergeCell ref="A64:A65"/>
    <mergeCell ref="A78:A79"/>
    <mergeCell ref="A80:A81"/>
  </mergeCells>
  <conditionalFormatting sqref="B112:B113 A6:B13 A20:B35 A16:B17 A146:B147 A38:B45 A114:B117 A120:B143 A118 A48:B111 A46">
    <cfRule type="cellIs" dxfId="170" priority="20" operator="equal">
      <formula>0</formula>
    </cfRule>
  </conditionalFormatting>
  <conditionalFormatting sqref="A102:A103">
    <cfRule type="cellIs" dxfId="169" priority="18" operator="equal">
      <formula>0</formula>
    </cfRule>
  </conditionalFormatting>
  <conditionalFormatting sqref="A12:A13">
    <cfRule type="cellIs" dxfId="168" priority="17" operator="equal">
      <formula>0</formula>
    </cfRule>
  </conditionalFormatting>
  <conditionalFormatting sqref="A112:A113">
    <cfRule type="cellIs" dxfId="167" priority="16" operator="equal">
      <formula>0</formula>
    </cfRule>
  </conditionalFormatting>
  <conditionalFormatting sqref="A110:B111">
    <cfRule type="cellIs" dxfId="166" priority="14" operator="equal">
      <formula>0</formula>
    </cfRule>
  </conditionalFormatting>
  <conditionalFormatting sqref="A36:B37">
    <cfRule type="cellIs" dxfId="165" priority="12" operator="equal">
      <formula>0</formula>
    </cfRule>
  </conditionalFormatting>
  <conditionalFormatting sqref="A18:B19">
    <cfRule type="cellIs" dxfId="164" priority="9" operator="equal">
      <formula>0</formula>
    </cfRule>
  </conditionalFormatting>
  <conditionalFormatting sqref="A10:B13">
    <cfRule type="cellIs" dxfId="163" priority="8" operator="equal">
      <formula>0</formula>
    </cfRule>
  </conditionalFormatting>
  <conditionalFormatting sqref="A144:B147">
    <cfRule type="cellIs" dxfId="162" priority="6" operator="equal">
      <formula>0</formula>
    </cfRule>
  </conditionalFormatting>
  <conditionalFormatting sqref="B142:B143">
    <cfRule type="cellIs" dxfId="161" priority="4" operator="equal">
      <formula>0</formula>
    </cfRule>
  </conditionalFormatting>
  <conditionalFormatting sqref="B14:B15">
    <cfRule type="cellIs" dxfId="160" priority="3" operator="equal">
      <formula>0</formula>
    </cfRule>
  </conditionalFormatting>
  <conditionalFormatting sqref="B118:B119">
    <cfRule type="cellIs" dxfId="159" priority="2" operator="equal">
      <formula>0</formula>
    </cfRule>
  </conditionalFormatting>
  <conditionalFormatting sqref="B46:B47">
    <cfRule type="cellIs" dxfId="158" priority="1" operator="equal">
      <formula>0</formula>
    </cfRule>
  </conditionalFormatting>
  <hyperlinks>
    <hyperlink ref="E3" location="'Spis tablic'!A4" display="Powrót do spisu treści" xr:uid="{00000000-0004-0000-1600-000000000000}"/>
    <hyperlink ref="E3:F3" location="'Spis tablic  List of tables'!A47" display="'Spis tablic  List of tables'!A47" xr:uid="{00000000-0004-0000-1600-000001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/>
  <dimension ref="A1:J42"/>
  <sheetViews>
    <sheetView zoomScaleNormal="100" workbookViewId="0">
      <pane ySplit="5" topLeftCell="A6" activePane="bottomLeft" state="frozen"/>
      <selection activeCell="G12" sqref="G12"/>
      <selection pane="bottomLeft" activeCell="G3" sqref="G3:H3"/>
    </sheetView>
  </sheetViews>
  <sheetFormatPr defaultColWidth="9.1796875" defaultRowHeight="14.5"/>
  <cols>
    <col min="1" max="1" width="20.54296875" style="50" customWidth="1"/>
    <col min="2" max="2" width="4.54296875" style="50" customWidth="1"/>
    <col min="3" max="3" width="10.453125" style="50" customWidth="1"/>
    <col min="4" max="8" width="10.7265625" style="50" customWidth="1"/>
    <col min="9" max="16384" width="9.1796875" style="50"/>
  </cols>
  <sheetData>
    <row r="1" spans="1:10" s="39" customFormat="1" ht="31.4" customHeight="1">
      <c r="A1" s="545" t="s">
        <v>977</v>
      </c>
      <c r="B1" s="545"/>
      <c r="C1" s="545"/>
      <c r="D1" s="545"/>
      <c r="E1" s="545"/>
      <c r="F1" s="545"/>
      <c r="G1" s="545"/>
      <c r="H1" s="545"/>
    </row>
    <row r="2" spans="1:10" s="39" customFormat="1" ht="12.5">
      <c r="A2" s="556" t="s">
        <v>332</v>
      </c>
      <c r="B2" s="556"/>
      <c r="C2" s="556"/>
      <c r="D2" s="556"/>
      <c r="E2" s="556"/>
      <c r="F2" s="556"/>
      <c r="G2" s="556"/>
      <c r="H2" s="556"/>
    </row>
    <row r="3" spans="1:10" s="39" customFormat="1" ht="28.4" customHeight="1">
      <c r="B3" s="49"/>
      <c r="G3" s="537" t="s">
        <v>5</v>
      </c>
      <c r="H3" s="596"/>
    </row>
    <row r="4" spans="1:10" s="41" customFormat="1" ht="32.25" customHeight="1">
      <c r="A4" s="584" t="s">
        <v>1191</v>
      </c>
      <c r="B4" s="548"/>
      <c r="C4" s="539" t="s">
        <v>284</v>
      </c>
      <c r="D4" s="543" t="s">
        <v>287</v>
      </c>
      <c r="E4" s="544"/>
      <c r="F4" s="544"/>
      <c r="G4" s="544"/>
      <c r="H4" s="544"/>
    </row>
    <row r="5" spans="1:10" s="41" customFormat="1" ht="63.75" customHeight="1">
      <c r="A5" s="591"/>
      <c r="B5" s="550"/>
      <c r="C5" s="540"/>
      <c r="D5" s="44" t="s">
        <v>282</v>
      </c>
      <c r="E5" s="44" t="s">
        <v>283</v>
      </c>
      <c r="F5" s="44" t="s">
        <v>288</v>
      </c>
      <c r="G5" s="44" t="s">
        <v>289</v>
      </c>
      <c r="H5" s="45" t="s">
        <v>290</v>
      </c>
      <c r="J5" s="48"/>
    </row>
    <row r="6" spans="1:10" ht="40.4" customHeight="1">
      <c r="A6" s="538" t="s">
        <v>48</v>
      </c>
      <c r="B6" s="538"/>
      <c r="C6" s="552"/>
      <c r="D6" s="552"/>
      <c r="E6" s="552"/>
      <c r="F6" s="552"/>
      <c r="G6" s="552"/>
      <c r="H6" s="552"/>
    </row>
    <row r="7" spans="1:10" s="41" customFormat="1" ht="14.25" customHeight="1">
      <c r="A7" s="593" t="s">
        <v>291</v>
      </c>
      <c r="B7" s="115" t="s">
        <v>285</v>
      </c>
      <c r="C7" s="171">
        <v>833124</v>
      </c>
      <c r="D7" s="171">
        <v>35325</v>
      </c>
      <c r="E7" s="171">
        <v>63297</v>
      </c>
      <c r="F7" s="171">
        <v>86175</v>
      </c>
      <c r="G7" s="171">
        <v>105155</v>
      </c>
      <c r="H7" s="171">
        <v>269721</v>
      </c>
    </row>
    <row r="8" spans="1:10" s="41" customFormat="1" ht="14.25" customHeight="1">
      <c r="A8" s="593"/>
      <c r="B8" s="52" t="s">
        <v>286</v>
      </c>
      <c r="C8" s="206">
        <v>857690</v>
      </c>
      <c r="D8" s="206">
        <v>36622</v>
      </c>
      <c r="E8" s="206">
        <v>65689</v>
      </c>
      <c r="F8" s="206">
        <v>91179</v>
      </c>
      <c r="G8" s="206">
        <v>117038</v>
      </c>
      <c r="H8" s="206">
        <v>267225</v>
      </c>
    </row>
    <row r="9" spans="1:10" s="41" customFormat="1" ht="14.25" customHeight="1">
      <c r="A9" s="594" t="s">
        <v>43</v>
      </c>
      <c r="B9" s="115" t="s">
        <v>285</v>
      </c>
      <c r="C9" s="171">
        <f>82775+99991</f>
        <v>182766</v>
      </c>
      <c r="D9" s="171">
        <f>3532+3822</f>
        <v>7354</v>
      </c>
      <c r="E9" s="171">
        <f>6635+8378</f>
        <v>15013</v>
      </c>
      <c r="F9" s="171">
        <f>9129+10874</f>
        <v>20003</v>
      </c>
      <c r="G9" s="171">
        <f>10937+12502</f>
        <v>23439</v>
      </c>
      <c r="H9" s="171">
        <f>26558+36398</f>
        <v>62956</v>
      </c>
    </row>
    <row r="10" spans="1:10" s="41" customFormat="1" ht="14.25" customHeight="1">
      <c r="A10" s="594"/>
      <c r="B10" s="115" t="s">
        <v>286</v>
      </c>
      <c r="C10" s="171">
        <f>82969+101392</f>
        <v>184361</v>
      </c>
      <c r="D10" s="171">
        <f>3849+3825</f>
        <v>7674</v>
      </c>
      <c r="E10" s="171">
        <f>7072+8181</f>
        <v>15253</v>
      </c>
      <c r="F10" s="171">
        <f>9420+11086</f>
        <v>20506</v>
      </c>
      <c r="G10" s="171">
        <f>11547+13823</f>
        <v>25370</v>
      </c>
      <c r="H10" s="171">
        <f>25936+38621</f>
        <v>64557</v>
      </c>
    </row>
    <row r="11" spans="1:10" s="41" customFormat="1" ht="14.25" customHeight="1">
      <c r="A11" s="594" t="s">
        <v>45</v>
      </c>
      <c r="B11" s="115" t="s">
        <v>285</v>
      </c>
      <c r="C11" s="171">
        <f>26476+76409+37003</f>
        <v>139888</v>
      </c>
      <c r="D11" s="171">
        <f>973+3640+1504</f>
        <v>6117</v>
      </c>
      <c r="E11" s="171">
        <f>1754+5875+2371</f>
        <v>10000</v>
      </c>
      <c r="F11" s="171">
        <f>2475+8394+3624</f>
        <v>14493</v>
      </c>
      <c r="G11" s="171">
        <f>3293+10738+4589</f>
        <v>18620</v>
      </c>
      <c r="H11" s="171">
        <f>9349+20610+14562</f>
        <v>44521</v>
      </c>
    </row>
    <row r="12" spans="1:10" s="41" customFormat="1" ht="14.25" customHeight="1">
      <c r="A12" s="594"/>
      <c r="B12" s="115" t="s">
        <v>286</v>
      </c>
      <c r="C12" s="171">
        <f>25064+87153+36858</f>
        <v>149075</v>
      </c>
      <c r="D12" s="171">
        <f>994+3596+1535</f>
        <v>6125</v>
      </c>
      <c r="E12" s="171">
        <f>1824+6242+2620</f>
        <v>10686</v>
      </c>
      <c r="F12" s="171">
        <f>2507+9029+4050</f>
        <v>15586</v>
      </c>
      <c r="G12" s="171">
        <f>3395+12406+5082</f>
        <v>20883</v>
      </c>
      <c r="H12" s="171">
        <f>7753+29254+13759</f>
        <v>50766</v>
      </c>
    </row>
    <row r="13" spans="1:10" s="41" customFormat="1" ht="14.25" customHeight="1">
      <c r="A13" s="594" t="s">
        <v>46</v>
      </c>
      <c r="B13" s="115" t="s">
        <v>285</v>
      </c>
      <c r="C13" s="171">
        <f>80189+24474</f>
        <v>104663</v>
      </c>
      <c r="D13" s="171">
        <f>3392+1059</f>
        <v>4451</v>
      </c>
      <c r="E13" s="171">
        <f>5421+1694</f>
        <v>7115</v>
      </c>
      <c r="F13" s="171">
        <f>7323+2184</f>
        <v>9507</v>
      </c>
      <c r="G13" s="171">
        <f>8318+2609</f>
        <v>10927</v>
      </c>
      <c r="H13" s="171">
        <f>19363+6728</f>
        <v>26091</v>
      </c>
    </row>
    <row r="14" spans="1:10" s="41" customFormat="1" ht="14.25" customHeight="1">
      <c r="A14" s="594"/>
      <c r="B14" s="115" t="s">
        <v>286</v>
      </c>
      <c r="C14" s="171">
        <f>83650+24117</f>
        <v>107767</v>
      </c>
      <c r="D14" s="171">
        <f>3751+1154</f>
        <v>4905</v>
      </c>
      <c r="E14" s="171">
        <f>5441+1842</f>
        <v>7283</v>
      </c>
      <c r="F14" s="171">
        <f>7756+2261</f>
        <v>10017</v>
      </c>
      <c r="G14" s="171">
        <f>9380+2828</f>
        <v>12208</v>
      </c>
      <c r="H14" s="171">
        <f>18915+5742</f>
        <v>24657</v>
      </c>
    </row>
    <row r="15" spans="1:10" s="41" customFormat="1" ht="14.25" customHeight="1">
      <c r="A15" s="594" t="s">
        <v>47</v>
      </c>
      <c r="B15" s="115" t="s">
        <v>285</v>
      </c>
      <c r="C15" s="171">
        <f>42992+50142+22913</f>
        <v>116047</v>
      </c>
      <c r="D15" s="171">
        <f>2098+2228+955</f>
        <v>5281</v>
      </c>
      <c r="E15" s="171">
        <f>3551+3648+1751</f>
        <v>8950</v>
      </c>
      <c r="F15" s="171">
        <f>4842+4801+2531</f>
        <v>12174</v>
      </c>
      <c r="G15" s="171">
        <f>5987+6533+3210</f>
        <v>15730</v>
      </c>
      <c r="H15" s="171">
        <f>14359+17135+7559</f>
        <v>39053</v>
      </c>
    </row>
    <row r="16" spans="1:10" s="41" customFormat="1" ht="14.25" customHeight="1">
      <c r="A16" s="594"/>
      <c r="B16" s="115" t="s">
        <v>286</v>
      </c>
      <c r="C16" s="171">
        <f>46522+50305+23882</f>
        <v>120709</v>
      </c>
      <c r="D16" s="171">
        <f>2218+2058+1009</f>
        <v>5285</v>
      </c>
      <c r="E16" s="171">
        <f>3676+3780+2039</f>
        <v>9495</v>
      </c>
      <c r="F16" s="171">
        <f>5164+4776+2845</f>
        <v>12785</v>
      </c>
      <c r="G16" s="171">
        <f>6121+7402+3481</f>
        <v>17004</v>
      </c>
      <c r="H16" s="171">
        <f>13303+16544+7468</f>
        <v>37315</v>
      </c>
    </row>
    <row r="17" spans="1:10" s="41" customFormat="1" ht="14.25" customHeight="1">
      <c r="A17" s="594" t="s">
        <v>292</v>
      </c>
      <c r="B17" s="115" t="s">
        <v>285</v>
      </c>
      <c r="C17" s="171">
        <f>47832+16775</f>
        <v>64607</v>
      </c>
      <c r="D17" s="171">
        <f>2106+727</f>
        <v>2833</v>
      </c>
      <c r="E17" s="171">
        <f>3996+1519</f>
        <v>5515</v>
      </c>
      <c r="F17" s="171">
        <f>5181+2055</f>
        <v>7236</v>
      </c>
      <c r="G17" s="171">
        <f>6557+2485</f>
        <v>9042</v>
      </c>
      <c r="H17" s="171">
        <f>14270+5350</f>
        <v>19620</v>
      </c>
    </row>
    <row r="18" spans="1:10" s="41" customFormat="1" ht="14.25" customHeight="1">
      <c r="A18" s="594"/>
      <c r="B18" s="115" t="s">
        <v>286</v>
      </c>
      <c r="C18" s="171">
        <f>52846+18149</f>
        <v>70995</v>
      </c>
      <c r="D18" s="171">
        <f>2105+835</f>
        <v>2940</v>
      </c>
      <c r="E18" s="171">
        <f>4352+1708</f>
        <v>6060</v>
      </c>
      <c r="F18" s="171">
        <f>5473+2237</f>
        <v>7710</v>
      </c>
      <c r="G18" s="171">
        <f>7542+2834</f>
        <v>10376</v>
      </c>
      <c r="H18" s="171">
        <f>12798+5515</f>
        <v>18313</v>
      </c>
    </row>
    <row r="19" spans="1:10" s="41" customFormat="1" ht="14.25" customHeight="1">
      <c r="A19" s="594" t="s">
        <v>44</v>
      </c>
      <c r="B19" s="115" t="s">
        <v>285</v>
      </c>
      <c r="C19" s="171">
        <f>37655+49729+21652</f>
        <v>109036</v>
      </c>
      <c r="D19" s="171">
        <f>1590+2396+645</f>
        <v>4631</v>
      </c>
      <c r="E19" s="171">
        <f>2596+4047+1558</f>
        <v>8201</v>
      </c>
      <c r="F19" s="171">
        <f>3425+5312+1967</f>
        <v>10704</v>
      </c>
      <c r="G19" s="171">
        <f>4560+6057+2726</f>
        <v>13343</v>
      </c>
      <c r="H19" s="171">
        <f>14799+15781+8132</f>
        <v>38712</v>
      </c>
    </row>
    <row r="20" spans="1:10" s="41" customFormat="1" ht="14.5" customHeight="1">
      <c r="A20" s="594"/>
      <c r="B20" s="115" t="s">
        <v>286</v>
      </c>
      <c r="C20" s="171">
        <f>36948+50229+21747</f>
        <v>108924</v>
      </c>
      <c r="D20" s="171">
        <f>1566+2425+792</f>
        <v>4783</v>
      </c>
      <c r="E20" s="171">
        <f>2706+4373+1519</f>
        <v>8598</v>
      </c>
      <c r="F20" s="171">
        <f>3691+5889+2172</f>
        <v>11752</v>
      </c>
      <c r="G20" s="171">
        <f>5188+6716+2962</f>
        <v>14866</v>
      </c>
      <c r="H20" s="171">
        <f>12810+14967+7071</f>
        <v>34848</v>
      </c>
    </row>
    <row r="21" spans="1:10" s="41" customFormat="1" ht="14.25" customHeight="1">
      <c r="A21" s="595" t="s">
        <v>42</v>
      </c>
      <c r="B21" s="115" t="s">
        <v>285</v>
      </c>
      <c r="C21" s="171">
        <v>116117</v>
      </c>
      <c r="D21" s="171">
        <v>4658</v>
      </c>
      <c r="E21" s="171">
        <v>8503</v>
      </c>
      <c r="F21" s="171">
        <v>12058</v>
      </c>
      <c r="G21" s="171">
        <v>14054</v>
      </c>
      <c r="H21" s="171">
        <v>38768</v>
      </c>
    </row>
    <row r="22" spans="1:10" s="41" customFormat="1" ht="14.25" customHeight="1">
      <c r="A22" s="595"/>
      <c r="B22" s="115" t="s">
        <v>286</v>
      </c>
      <c r="C22" s="171">
        <v>115859</v>
      </c>
      <c r="D22" s="171">
        <v>4910</v>
      </c>
      <c r="E22" s="171">
        <v>8314</v>
      </c>
      <c r="F22" s="171">
        <v>12823</v>
      </c>
      <c r="G22" s="171">
        <v>16331</v>
      </c>
      <c r="H22" s="171">
        <v>36769</v>
      </c>
    </row>
    <row r="23" spans="1:10" ht="40.4" customHeight="1">
      <c r="A23" s="538" t="s">
        <v>243</v>
      </c>
      <c r="B23" s="538"/>
      <c r="C23" s="538"/>
      <c r="D23" s="538"/>
      <c r="E23" s="538"/>
      <c r="F23" s="538"/>
      <c r="G23" s="538"/>
      <c r="H23" s="538"/>
      <c r="J23" s="48"/>
    </row>
    <row r="24" spans="1:10" s="41" customFormat="1" ht="14.25" customHeight="1">
      <c r="A24" s="593" t="s">
        <v>293</v>
      </c>
      <c r="B24" s="115" t="s">
        <v>285</v>
      </c>
      <c r="C24" s="171">
        <v>170489</v>
      </c>
      <c r="D24" s="171">
        <v>7467</v>
      </c>
      <c r="E24" s="171">
        <v>16478</v>
      </c>
      <c r="F24" s="171">
        <v>24473</v>
      </c>
      <c r="G24" s="171">
        <v>32417</v>
      </c>
      <c r="H24" s="171">
        <v>59437</v>
      </c>
    </row>
    <row r="25" spans="1:10" s="41" customFormat="1" ht="14.25" customHeight="1">
      <c r="A25" s="593"/>
      <c r="B25" s="52" t="s">
        <v>286</v>
      </c>
      <c r="C25" s="206">
        <v>172753</v>
      </c>
      <c r="D25" s="206">
        <v>8474</v>
      </c>
      <c r="E25" s="206">
        <v>16772</v>
      </c>
      <c r="F25" s="206">
        <v>25866</v>
      </c>
      <c r="G25" s="206">
        <v>36184</v>
      </c>
      <c r="H25" s="206">
        <v>51221</v>
      </c>
    </row>
    <row r="26" spans="1:10" s="41" customFormat="1" ht="14.25" customHeight="1">
      <c r="A26" s="594" t="s">
        <v>43</v>
      </c>
      <c r="B26" s="115" t="s">
        <v>285</v>
      </c>
      <c r="C26" s="171">
        <v>37320</v>
      </c>
      <c r="D26" s="171">
        <v>1547</v>
      </c>
      <c r="E26" s="171">
        <v>3626</v>
      </c>
      <c r="F26" s="171">
        <v>6018</v>
      </c>
      <c r="G26" s="171">
        <v>7025</v>
      </c>
      <c r="H26" s="171">
        <v>12054</v>
      </c>
    </row>
    <row r="27" spans="1:10" s="41" customFormat="1" ht="14.25" customHeight="1">
      <c r="A27" s="594"/>
      <c r="B27" s="115" t="s">
        <v>286</v>
      </c>
      <c r="C27" s="171">
        <v>36097</v>
      </c>
      <c r="D27" s="171">
        <v>1802</v>
      </c>
      <c r="E27" s="171">
        <v>3844</v>
      </c>
      <c r="F27" s="171">
        <v>5715</v>
      </c>
      <c r="G27" s="171">
        <v>7083</v>
      </c>
      <c r="H27" s="171">
        <v>11292</v>
      </c>
    </row>
    <row r="28" spans="1:10" s="41" customFormat="1" ht="14.25" customHeight="1">
      <c r="A28" s="594" t="s">
        <v>45</v>
      </c>
      <c r="B28" s="115" t="s">
        <v>285</v>
      </c>
      <c r="C28" s="171">
        <v>29395</v>
      </c>
      <c r="D28" s="171">
        <v>1432</v>
      </c>
      <c r="E28" s="171">
        <v>2615</v>
      </c>
      <c r="F28" s="171">
        <v>4023</v>
      </c>
      <c r="G28" s="171">
        <v>5945</v>
      </c>
      <c r="H28" s="171">
        <v>10388</v>
      </c>
    </row>
    <row r="29" spans="1:10" s="41" customFormat="1" ht="14.25" customHeight="1">
      <c r="A29" s="594"/>
      <c r="B29" s="115" t="s">
        <v>286</v>
      </c>
      <c r="C29" s="171">
        <v>29545</v>
      </c>
      <c r="D29" s="171">
        <v>1417</v>
      </c>
      <c r="E29" s="171">
        <v>2668</v>
      </c>
      <c r="F29" s="171">
        <v>4415</v>
      </c>
      <c r="G29" s="171">
        <v>6705</v>
      </c>
      <c r="H29" s="171">
        <v>9898</v>
      </c>
    </row>
    <row r="30" spans="1:10" s="41" customFormat="1" ht="14.25" customHeight="1">
      <c r="A30" s="594" t="s">
        <v>46</v>
      </c>
      <c r="B30" s="115" t="s">
        <v>285</v>
      </c>
      <c r="C30" s="171">
        <v>16912</v>
      </c>
      <c r="D30" s="171">
        <v>835</v>
      </c>
      <c r="E30" s="171">
        <v>1699</v>
      </c>
      <c r="F30" s="171">
        <v>2372</v>
      </c>
      <c r="G30" s="171">
        <v>3062</v>
      </c>
      <c r="H30" s="171">
        <v>5342</v>
      </c>
    </row>
    <row r="31" spans="1:10" s="41" customFormat="1" ht="14.25" customHeight="1">
      <c r="A31" s="594"/>
      <c r="B31" s="115" t="s">
        <v>286</v>
      </c>
      <c r="C31" s="171">
        <v>16821</v>
      </c>
      <c r="D31" s="171">
        <v>939</v>
      </c>
      <c r="E31" s="171">
        <v>1650</v>
      </c>
      <c r="F31" s="171">
        <v>2567</v>
      </c>
      <c r="G31" s="171">
        <v>3533</v>
      </c>
      <c r="H31" s="171">
        <v>4654</v>
      </c>
    </row>
    <row r="32" spans="1:10" s="41" customFormat="1" ht="14.25" customHeight="1">
      <c r="A32" s="594" t="s">
        <v>47</v>
      </c>
      <c r="B32" s="115" t="s">
        <v>285</v>
      </c>
      <c r="C32" s="171">
        <v>24626</v>
      </c>
      <c r="D32" s="171">
        <v>1153</v>
      </c>
      <c r="E32" s="171">
        <v>2363</v>
      </c>
      <c r="F32" s="171">
        <v>3551</v>
      </c>
      <c r="G32" s="171">
        <v>5295</v>
      </c>
      <c r="H32" s="171">
        <v>8411</v>
      </c>
    </row>
    <row r="33" spans="1:8" s="41" customFormat="1" ht="14.25" customHeight="1">
      <c r="A33" s="594"/>
      <c r="B33" s="115" t="s">
        <v>286</v>
      </c>
      <c r="C33" s="171">
        <v>28798</v>
      </c>
      <c r="D33" s="171">
        <v>1433</v>
      </c>
      <c r="E33" s="171">
        <v>2614</v>
      </c>
      <c r="F33" s="171">
        <v>3882</v>
      </c>
      <c r="G33" s="171">
        <v>5513</v>
      </c>
      <c r="H33" s="171">
        <v>7803</v>
      </c>
    </row>
    <row r="34" spans="1:8" s="41" customFormat="1" ht="14.25" customHeight="1">
      <c r="A34" s="594" t="s">
        <v>294</v>
      </c>
      <c r="B34" s="115" t="s">
        <v>285</v>
      </c>
      <c r="C34" s="171">
        <v>13973</v>
      </c>
      <c r="D34" s="171">
        <v>550</v>
      </c>
      <c r="E34" s="171">
        <v>1613</v>
      </c>
      <c r="F34" s="171">
        <v>2082</v>
      </c>
      <c r="G34" s="171">
        <v>2931</v>
      </c>
      <c r="H34" s="171">
        <v>4681</v>
      </c>
    </row>
    <row r="35" spans="1:8" s="41" customFormat="1" ht="14.25" customHeight="1">
      <c r="A35" s="594"/>
      <c r="B35" s="115" t="s">
        <v>286</v>
      </c>
      <c r="C35" s="171">
        <v>16255</v>
      </c>
      <c r="D35" s="171">
        <v>689</v>
      </c>
      <c r="E35" s="171">
        <v>1647</v>
      </c>
      <c r="F35" s="171">
        <v>2264</v>
      </c>
      <c r="G35" s="171">
        <v>3623</v>
      </c>
      <c r="H35" s="171">
        <v>3538</v>
      </c>
    </row>
    <row r="36" spans="1:8" s="41" customFormat="1" ht="14.25" customHeight="1">
      <c r="A36" s="594" t="s">
        <v>44</v>
      </c>
      <c r="B36" s="115" t="s">
        <v>285</v>
      </c>
      <c r="C36" s="171">
        <v>21706</v>
      </c>
      <c r="D36" s="171">
        <v>734</v>
      </c>
      <c r="E36" s="171">
        <v>1912</v>
      </c>
      <c r="F36" s="171">
        <v>2662</v>
      </c>
      <c r="G36" s="171">
        <v>4006</v>
      </c>
      <c r="H36" s="171">
        <v>9604</v>
      </c>
    </row>
    <row r="37" spans="1:8" s="41" customFormat="1" ht="14.25" customHeight="1">
      <c r="A37" s="594"/>
      <c r="B37" s="115" t="s">
        <v>286</v>
      </c>
      <c r="C37" s="171">
        <v>20077</v>
      </c>
      <c r="D37" s="171">
        <v>898</v>
      </c>
      <c r="E37" s="171">
        <v>2119</v>
      </c>
      <c r="F37" s="171">
        <v>3104</v>
      </c>
      <c r="G37" s="171">
        <v>4658</v>
      </c>
      <c r="H37" s="171">
        <v>6463</v>
      </c>
    </row>
    <row r="38" spans="1:8" s="41" customFormat="1" ht="14.25" customHeight="1">
      <c r="A38" s="595" t="s">
        <v>42</v>
      </c>
      <c r="B38" s="115" t="s">
        <v>285</v>
      </c>
      <c r="C38" s="171">
        <v>26557</v>
      </c>
      <c r="D38" s="171">
        <v>1216</v>
      </c>
      <c r="E38" s="171">
        <v>2650</v>
      </c>
      <c r="F38" s="171">
        <v>3765</v>
      </c>
      <c r="G38" s="171">
        <v>4153</v>
      </c>
      <c r="H38" s="171">
        <v>8957</v>
      </c>
    </row>
    <row r="39" spans="1:8" s="41" customFormat="1" ht="14.25" customHeight="1">
      <c r="A39" s="595"/>
      <c r="B39" s="115" t="s">
        <v>286</v>
      </c>
      <c r="C39" s="171">
        <v>25160</v>
      </c>
      <c r="D39" s="171">
        <v>1296</v>
      </c>
      <c r="E39" s="171">
        <v>2230</v>
      </c>
      <c r="F39" s="171">
        <v>3919</v>
      </c>
      <c r="G39" s="171">
        <v>5069</v>
      </c>
      <c r="H39" s="171">
        <v>7573</v>
      </c>
    </row>
    <row r="40" spans="1:8" s="41" customFormat="1" ht="24" customHeight="1">
      <c r="A40" s="83"/>
      <c r="B40" s="116"/>
      <c r="C40" s="117"/>
      <c r="D40" s="117"/>
      <c r="E40" s="117"/>
      <c r="F40" s="117"/>
      <c r="G40" s="117"/>
      <c r="H40" s="117"/>
    </row>
    <row r="41" spans="1:8" ht="29.5" customHeight="1">
      <c r="A41" s="562" t="s">
        <v>983</v>
      </c>
      <c r="B41" s="562"/>
      <c r="C41" s="562"/>
      <c r="D41" s="562"/>
      <c r="E41" s="562"/>
      <c r="F41" s="562"/>
      <c r="G41" s="562"/>
      <c r="H41" s="562"/>
    </row>
    <row r="42" spans="1:8" ht="24" customHeight="1">
      <c r="A42" s="561" t="s">
        <v>296</v>
      </c>
      <c r="B42" s="561"/>
      <c r="C42" s="561"/>
      <c r="D42" s="561"/>
      <c r="E42" s="561"/>
      <c r="F42" s="561"/>
      <c r="G42" s="561"/>
      <c r="H42" s="561"/>
    </row>
  </sheetData>
  <mergeCells count="26">
    <mergeCell ref="A23:H23"/>
    <mergeCell ref="A24:A25"/>
    <mergeCell ref="A41:H41"/>
    <mergeCell ref="A42:H42"/>
    <mergeCell ref="A38:A39"/>
    <mergeCell ref="A26:A27"/>
    <mergeCell ref="A36:A37"/>
    <mergeCell ref="A28:A29"/>
    <mergeCell ref="A30:A31"/>
    <mergeCell ref="A32:A33"/>
    <mergeCell ref="A34:A35"/>
    <mergeCell ref="A1:H1"/>
    <mergeCell ref="A2:H2"/>
    <mergeCell ref="G3:H3"/>
    <mergeCell ref="A4:B5"/>
    <mergeCell ref="C4:C5"/>
    <mergeCell ref="D4:H4"/>
    <mergeCell ref="A6:H6"/>
    <mergeCell ref="A7:A8"/>
    <mergeCell ref="A17:A18"/>
    <mergeCell ref="A21:A22"/>
    <mergeCell ref="A9:A10"/>
    <mergeCell ref="A19:A20"/>
    <mergeCell ref="A11:A12"/>
    <mergeCell ref="A13:A14"/>
    <mergeCell ref="A15:A16"/>
  </mergeCells>
  <hyperlinks>
    <hyperlink ref="G3" location="'Spis tablic'!A4" display="Powrót do spisu treści" xr:uid="{00000000-0004-0000-1700-000000000000}"/>
    <hyperlink ref="G3:H3" location="'Spis tablic  List of tables'!A49" display="'Spis tablic  List of tables'!A49" xr:uid="{00000000-0004-0000-1700-000001000000}"/>
  </hyperlinks>
  <pageMargins left="0.7" right="0.7" top="0.75" bottom="0.75" header="0.3" footer="0.3"/>
  <pageSetup paperSize="9" scale="9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5"/>
  <dimension ref="A1:J78"/>
  <sheetViews>
    <sheetView zoomScaleNormal="100" workbookViewId="0">
      <pane ySplit="5" topLeftCell="A6" activePane="bottomLeft" state="frozen"/>
      <selection activeCell="G12" sqref="G12"/>
      <selection pane="bottomLeft" activeCell="G3" sqref="G3:H3"/>
    </sheetView>
  </sheetViews>
  <sheetFormatPr defaultColWidth="9.1796875" defaultRowHeight="14.5"/>
  <cols>
    <col min="1" max="1" width="21.54296875" style="50" customWidth="1"/>
    <col min="2" max="2" width="3.81640625" style="121" customWidth="1"/>
    <col min="3" max="3" width="10.453125" style="50" customWidth="1"/>
    <col min="4" max="8" width="10.7265625" style="50" customWidth="1"/>
    <col min="9" max="19" width="9.1796875" style="50"/>
    <col min="20" max="20" width="9.1796875" style="50" customWidth="1"/>
    <col min="21" max="16384" width="9.1796875" style="50"/>
  </cols>
  <sheetData>
    <row r="1" spans="1:10" s="39" customFormat="1" ht="35.5" customHeight="1">
      <c r="A1" s="545" t="s">
        <v>978</v>
      </c>
      <c r="B1" s="545"/>
      <c r="C1" s="545"/>
      <c r="D1" s="545"/>
      <c r="E1" s="545"/>
      <c r="F1" s="545"/>
      <c r="G1" s="545"/>
      <c r="H1" s="545"/>
    </row>
    <row r="2" spans="1:10" s="39" customFormat="1" ht="16.399999999999999" customHeight="1">
      <c r="A2" s="563" t="s">
        <v>961</v>
      </c>
      <c r="B2" s="563"/>
      <c r="C2" s="563"/>
      <c r="D2" s="563"/>
      <c r="E2" s="563"/>
      <c r="F2" s="563"/>
      <c r="G2" s="563"/>
      <c r="H2" s="563"/>
    </row>
    <row r="3" spans="1:10" s="39" customFormat="1" ht="26.5" customHeight="1">
      <c r="A3" s="94"/>
      <c r="B3" s="118"/>
      <c r="C3" s="94"/>
      <c r="D3" s="94"/>
      <c r="E3" s="94"/>
      <c r="F3" s="94"/>
      <c r="G3" s="537" t="s">
        <v>5</v>
      </c>
      <c r="H3" s="596"/>
    </row>
    <row r="4" spans="1:10" s="41" customFormat="1" ht="32.25" customHeight="1">
      <c r="A4" s="584" t="s">
        <v>1191</v>
      </c>
      <c r="B4" s="548"/>
      <c r="C4" s="539" t="s">
        <v>284</v>
      </c>
      <c r="D4" s="543" t="s">
        <v>297</v>
      </c>
      <c r="E4" s="544"/>
      <c r="F4" s="544"/>
      <c r="G4" s="544"/>
      <c r="H4" s="544"/>
    </row>
    <row r="5" spans="1:10" s="41" customFormat="1" ht="63.75" customHeight="1">
      <c r="A5" s="591"/>
      <c r="B5" s="550"/>
      <c r="C5" s="540"/>
      <c r="D5" s="44" t="s">
        <v>282</v>
      </c>
      <c r="E5" s="44" t="s">
        <v>283</v>
      </c>
      <c r="F5" s="44" t="s">
        <v>288</v>
      </c>
      <c r="G5" s="44" t="s">
        <v>289</v>
      </c>
      <c r="H5" s="45" t="s">
        <v>290</v>
      </c>
      <c r="J5" s="48"/>
    </row>
    <row r="6" spans="1:10" ht="40.4" customHeight="1">
      <c r="A6" s="538" t="s">
        <v>48</v>
      </c>
      <c r="B6" s="538"/>
      <c r="C6" s="552"/>
      <c r="D6" s="552"/>
      <c r="E6" s="552"/>
      <c r="F6" s="552"/>
      <c r="G6" s="552"/>
      <c r="H6" s="552"/>
    </row>
    <row r="7" spans="1:10" s="41" customFormat="1" ht="14.25" customHeight="1">
      <c r="A7" s="590" t="s">
        <v>298</v>
      </c>
      <c r="B7" s="115" t="s">
        <v>285</v>
      </c>
      <c r="C7" s="171">
        <v>833124</v>
      </c>
      <c r="D7" s="171">
        <v>35325</v>
      </c>
      <c r="E7" s="171">
        <v>63297</v>
      </c>
      <c r="F7" s="171">
        <v>86175</v>
      </c>
      <c r="G7" s="171">
        <v>105155</v>
      </c>
      <c r="H7" s="171">
        <v>269721</v>
      </c>
      <c r="J7" s="320"/>
    </row>
    <row r="8" spans="1:10" s="41" customFormat="1" ht="14.25" customHeight="1">
      <c r="A8" s="590"/>
      <c r="B8" s="52" t="s">
        <v>286</v>
      </c>
      <c r="C8" s="206">
        <v>857690</v>
      </c>
      <c r="D8" s="206">
        <v>36622</v>
      </c>
      <c r="E8" s="206">
        <v>65689</v>
      </c>
      <c r="F8" s="206">
        <v>91179</v>
      </c>
      <c r="G8" s="206">
        <v>117038</v>
      </c>
      <c r="H8" s="206">
        <v>267225</v>
      </c>
    </row>
    <row r="9" spans="1:10" s="41" customFormat="1" ht="14.25" customHeight="1">
      <c r="A9" s="595" t="s">
        <v>49</v>
      </c>
      <c r="B9" s="115" t="s">
        <v>285</v>
      </c>
      <c r="C9" s="171">
        <v>80189</v>
      </c>
      <c r="D9" s="171">
        <v>3392</v>
      </c>
      <c r="E9" s="171">
        <v>5421</v>
      </c>
      <c r="F9" s="171">
        <v>7323</v>
      </c>
      <c r="G9" s="171">
        <v>8318</v>
      </c>
      <c r="H9" s="171">
        <v>19363</v>
      </c>
    </row>
    <row r="10" spans="1:10" s="41" customFormat="1" ht="14.25" customHeight="1">
      <c r="A10" s="595"/>
      <c r="B10" s="115" t="s">
        <v>286</v>
      </c>
      <c r="C10" s="171">
        <v>83650</v>
      </c>
      <c r="D10" s="171">
        <v>3751</v>
      </c>
      <c r="E10" s="171">
        <v>5441</v>
      </c>
      <c r="F10" s="171">
        <v>7756</v>
      </c>
      <c r="G10" s="171">
        <v>9380</v>
      </c>
      <c r="H10" s="171">
        <v>18915</v>
      </c>
    </row>
    <row r="11" spans="1:10" s="41" customFormat="1" ht="14.25" customHeight="1">
      <c r="A11" s="595" t="s">
        <v>50</v>
      </c>
      <c r="B11" s="115" t="s">
        <v>285</v>
      </c>
      <c r="C11" s="171">
        <v>42992</v>
      </c>
      <c r="D11" s="171">
        <v>2098</v>
      </c>
      <c r="E11" s="171">
        <v>3551</v>
      </c>
      <c r="F11" s="171">
        <v>4842</v>
      </c>
      <c r="G11" s="171">
        <v>5987</v>
      </c>
      <c r="H11" s="171">
        <v>14359</v>
      </c>
    </row>
    <row r="12" spans="1:10" s="41" customFormat="1" ht="14.25" customHeight="1">
      <c r="A12" s="595"/>
      <c r="B12" s="115" t="s">
        <v>286</v>
      </c>
      <c r="C12" s="171">
        <v>46522</v>
      </c>
      <c r="D12" s="171">
        <v>2218</v>
      </c>
      <c r="E12" s="171">
        <v>3676</v>
      </c>
      <c r="F12" s="171">
        <v>5164</v>
      </c>
      <c r="G12" s="171">
        <v>6121</v>
      </c>
      <c r="H12" s="171">
        <v>13303</v>
      </c>
    </row>
    <row r="13" spans="1:10" s="41" customFormat="1" ht="14.25" customHeight="1">
      <c r="A13" s="595" t="s">
        <v>51</v>
      </c>
      <c r="B13" s="115" t="s">
        <v>285</v>
      </c>
      <c r="C13" s="171">
        <v>37655</v>
      </c>
      <c r="D13" s="171">
        <v>1590</v>
      </c>
      <c r="E13" s="171">
        <v>2596</v>
      </c>
      <c r="F13" s="171">
        <v>3425</v>
      </c>
      <c r="G13" s="171">
        <v>4560</v>
      </c>
      <c r="H13" s="171">
        <v>14799</v>
      </c>
    </row>
    <row r="14" spans="1:10" s="41" customFormat="1" ht="14.25" customHeight="1">
      <c r="A14" s="595"/>
      <c r="B14" s="115" t="s">
        <v>286</v>
      </c>
      <c r="C14" s="171">
        <v>36948</v>
      </c>
      <c r="D14" s="171">
        <v>1566</v>
      </c>
      <c r="E14" s="171">
        <v>2706</v>
      </c>
      <c r="F14" s="171">
        <v>3691</v>
      </c>
      <c r="G14" s="171">
        <v>5188</v>
      </c>
      <c r="H14" s="171">
        <v>12810</v>
      </c>
    </row>
    <row r="15" spans="1:10" s="41" customFormat="1" ht="14.25" customHeight="1">
      <c r="A15" s="595" t="s">
        <v>52</v>
      </c>
      <c r="B15" s="115" t="s">
        <v>285</v>
      </c>
      <c r="C15" s="171">
        <v>26476</v>
      </c>
      <c r="D15" s="171">
        <v>973</v>
      </c>
      <c r="E15" s="171">
        <v>1754</v>
      </c>
      <c r="F15" s="171">
        <v>2475</v>
      </c>
      <c r="G15" s="171">
        <v>3293</v>
      </c>
      <c r="H15" s="171">
        <v>9349</v>
      </c>
    </row>
    <row r="16" spans="1:10" s="41" customFormat="1" ht="14.25" customHeight="1">
      <c r="A16" s="595"/>
      <c r="B16" s="115" t="s">
        <v>286</v>
      </c>
      <c r="C16" s="171">
        <v>25064</v>
      </c>
      <c r="D16" s="171">
        <v>994</v>
      </c>
      <c r="E16" s="171">
        <v>1824</v>
      </c>
      <c r="F16" s="171">
        <v>2507</v>
      </c>
      <c r="G16" s="171">
        <v>3395</v>
      </c>
      <c r="H16" s="171">
        <v>7753</v>
      </c>
    </row>
    <row r="17" spans="1:8" s="41" customFormat="1" ht="14.25" customHeight="1">
      <c r="A17" s="595" t="s">
        <v>53</v>
      </c>
      <c r="B17" s="115" t="s">
        <v>285</v>
      </c>
      <c r="C17" s="171">
        <v>47832</v>
      </c>
      <c r="D17" s="171">
        <v>2106</v>
      </c>
      <c r="E17" s="171">
        <v>3996</v>
      </c>
      <c r="F17" s="171">
        <v>5181</v>
      </c>
      <c r="G17" s="171">
        <v>6557</v>
      </c>
      <c r="H17" s="171">
        <v>14270</v>
      </c>
    </row>
    <row r="18" spans="1:8" s="41" customFormat="1" ht="14.25" customHeight="1">
      <c r="A18" s="595"/>
      <c r="B18" s="115" t="s">
        <v>286</v>
      </c>
      <c r="C18" s="171">
        <v>52846</v>
      </c>
      <c r="D18" s="171">
        <v>2105</v>
      </c>
      <c r="E18" s="171">
        <v>4352</v>
      </c>
      <c r="F18" s="171">
        <v>5473</v>
      </c>
      <c r="G18" s="171">
        <v>7542</v>
      </c>
      <c r="H18" s="171">
        <v>12798</v>
      </c>
    </row>
    <row r="19" spans="1:8" s="41" customFormat="1" ht="14.25" customHeight="1">
      <c r="A19" s="595" t="s">
        <v>54</v>
      </c>
      <c r="B19" s="115" t="s">
        <v>285</v>
      </c>
      <c r="C19" s="171">
        <v>82775</v>
      </c>
      <c r="D19" s="171">
        <v>3532</v>
      </c>
      <c r="E19" s="171">
        <v>6635</v>
      </c>
      <c r="F19" s="171">
        <v>9129</v>
      </c>
      <c r="G19" s="171">
        <v>10937</v>
      </c>
      <c r="H19" s="171">
        <v>26558</v>
      </c>
    </row>
    <row r="20" spans="1:8" s="41" customFormat="1" ht="14.25" customHeight="1">
      <c r="A20" s="595"/>
      <c r="B20" s="115" t="s">
        <v>286</v>
      </c>
      <c r="C20" s="171">
        <v>82969</v>
      </c>
      <c r="D20" s="171">
        <v>3849</v>
      </c>
      <c r="E20" s="171">
        <v>7072</v>
      </c>
      <c r="F20" s="171">
        <v>9420</v>
      </c>
      <c r="G20" s="171">
        <v>11547</v>
      </c>
      <c r="H20" s="171">
        <v>25936</v>
      </c>
    </row>
    <row r="21" spans="1:8" s="41" customFormat="1" ht="14.25" customHeight="1">
      <c r="A21" s="595" t="s">
        <v>55</v>
      </c>
      <c r="B21" s="115" t="s">
        <v>285</v>
      </c>
      <c r="C21" s="171">
        <v>116117</v>
      </c>
      <c r="D21" s="171">
        <v>4658</v>
      </c>
      <c r="E21" s="171">
        <v>8503</v>
      </c>
      <c r="F21" s="171">
        <v>12058</v>
      </c>
      <c r="G21" s="171">
        <v>14054</v>
      </c>
      <c r="H21" s="171">
        <v>38768</v>
      </c>
    </row>
    <row r="22" spans="1:8" s="41" customFormat="1" ht="14.25" customHeight="1">
      <c r="A22" s="595"/>
      <c r="B22" s="115" t="s">
        <v>286</v>
      </c>
      <c r="C22" s="171">
        <v>115859</v>
      </c>
      <c r="D22" s="171">
        <v>4910</v>
      </c>
      <c r="E22" s="171">
        <v>8314</v>
      </c>
      <c r="F22" s="171">
        <v>12823</v>
      </c>
      <c r="G22" s="171">
        <v>16331</v>
      </c>
      <c r="H22" s="171">
        <v>36769</v>
      </c>
    </row>
    <row r="23" spans="1:8" s="41" customFormat="1" ht="14.25" customHeight="1">
      <c r="A23" s="595" t="s">
        <v>56</v>
      </c>
      <c r="B23" s="115" t="s">
        <v>285</v>
      </c>
      <c r="C23" s="171">
        <v>24474</v>
      </c>
      <c r="D23" s="171">
        <v>1059</v>
      </c>
      <c r="E23" s="171">
        <v>1694</v>
      </c>
      <c r="F23" s="171">
        <v>2184</v>
      </c>
      <c r="G23" s="171">
        <v>2609</v>
      </c>
      <c r="H23" s="171">
        <v>6728</v>
      </c>
    </row>
    <row r="24" spans="1:8" s="41" customFormat="1" ht="14.25" customHeight="1">
      <c r="A24" s="595"/>
      <c r="B24" s="115" t="s">
        <v>286</v>
      </c>
      <c r="C24" s="171">
        <v>24117</v>
      </c>
      <c r="D24" s="171">
        <v>1154</v>
      </c>
      <c r="E24" s="171">
        <v>1842</v>
      </c>
      <c r="F24" s="171">
        <v>2261</v>
      </c>
      <c r="G24" s="171">
        <v>2828</v>
      </c>
      <c r="H24" s="171">
        <v>5742</v>
      </c>
    </row>
    <row r="25" spans="1:8" s="41" customFormat="1" ht="14.25" customHeight="1">
      <c r="A25" s="595" t="s">
        <v>57</v>
      </c>
      <c r="B25" s="115" t="s">
        <v>285</v>
      </c>
      <c r="C25" s="171">
        <v>49729</v>
      </c>
      <c r="D25" s="171">
        <v>2396</v>
      </c>
      <c r="E25" s="171">
        <v>4047</v>
      </c>
      <c r="F25" s="171">
        <v>5312</v>
      </c>
      <c r="G25" s="171">
        <v>6057</v>
      </c>
      <c r="H25" s="171">
        <v>15781</v>
      </c>
    </row>
    <row r="26" spans="1:8" s="41" customFormat="1" ht="14.25" customHeight="1">
      <c r="A26" s="595"/>
      <c r="B26" s="115" t="s">
        <v>286</v>
      </c>
      <c r="C26" s="171">
        <v>50229</v>
      </c>
      <c r="D26" s="171">
        <v>2425</v>
      </c>
      <c r="E26" s="171">
        <v>4373</v>
      </c>
      <c r="F26" s="171">
        <v>5889</v>
      </c>
      <c r="G26" s="171">
        <v>6716</v>
      </c>
      <c r="H26" s="171">
        <v>14967</v>
      </c>
    </row>
    <row r="27" spans="1:8" s="41" customFormat="1" ht="14.25" customHeight="1">
      <c r="A27" s="595" t="s">
        <v>58</v>
      </c>
      <c r="B27" s="115" t="s">
        <v>285</v>
      </c>
      <c r="C27" s="171">
        <v>21652</v>
      </c>
      <c r="D27" s="171">
        <v>645</v>
      </c>
      <c r="E27" s="171">
        <v>1558</v>
      </c>
      <c r="F27" s="171">
        <v>1967</v>
      </c>
      <c r="G27" s="171">
        <v>2726</v>
      </c>
      <c r="H27" s="171">
        <v>8132</v>
      </c>
    </row>
    <row r="28" spans="1:8" s="41" customFormat="1" ht="14.25" customHeight="1">
      <c r="A28" s="595"/>
      <c r="B28" s="115" t="s">
        <v>286</v>
      </c>
      <c r="C28" s="171">
        <v>21747</v>
      </c>
      <c r="D28" s="171">
        <v>792</v>
      </c>
      <c r="E28" s="171">
        <v>1519</v>
      </c>
      <c r="F28" s="171">
        <v>2172</v>
      </c>
      <c r="G28" s="171">
        <v>2962</v>
      </c>
      <c r="H28" s="171">
        <v>7071</v>
      </c>
    </row>
    <row r="29" spans="1:8" s="41" customFormat="1" ht="14.25" customHeight="1">
      <c r="A29" s="595" t="s">
        <v>59</v>
      </c>
      <c r="B29" s="115" t="s">
        <v>285</v>
      </c>
      <c r="C29" s="171">
        <v>50142</v>
      </c>
      <c r="D29" s="171">
        <v>2228</v>
      </c>
      <c r="E29" s="171">
        <v>3648</v>
      </c>
      <c r="F29" s="171">
        <v>4801</v>
      </c>
      <c r="G29" s="171">
        <v>6533</v>
      </c>
      <c r="H29" s="171">
        <v>17135</v>
      </c>
    </row>
    <row r="30" spans="1:8" s="41" customFormat="1" ht="14.25" customHeight="1">
      <c r="A30" s="595"/>
      <c r="B30" s="115" t="s">
        <v>286</v>
      </c>
      <c r="C30" s="171">
        <v>50305</v>
      </c>
      <c r="D30" s="171">
        <v>2058</v>
      </c>
      <c r="E30" s="171">
        <v>3780</v>
      </c>
      <c r="F30" s="171">
        <v>4776</v>
      </c>
      <c r="G30" s="171">
        <v>7402</v>
      </c>
      <c r="H30" s="171">
        <v>16544</v>
      </c>
    </row>
    <row r="31" spans="1:8" s="41" customFormat="1" ht="14.25" customHeight="1">
      <c r="A31" s="595" t="s">
        <v>60</v>
      </c>
      <c r="B31" s="115" t="s">
        <v>285</v>
      </c>
      <c r="C31" s="171">
        <v>99991</v>
      </c>
      <c r="D31" s="171">
        <v>3822</v>
      </c>
      <c r="E31" s="171">
        <v>8378</v>
      </c>
      <c r="F31" s="171">
        <v>10874</v>
      </c>
      <c r="G31" s="171">
        <v>12502</v>
      </c>
      <c r="H31" s="171">
        <v>36398</v>
      </c>
    </row>
    <row r="32" spans="1:8" s="41" customFormat="1" ht="14.25" customHeight="1">
      <c r="A32" s="595"/>
      <c r="B32" s="115" t="s">
        <v>286</v>
      </c>
      <c r="C32" s="171">
        <v>101392</v>
      </c>
      <c r="D32" s="171">
        <v>3825</v>
      </c>
      <c r="E32" s="171">
        <v>8181</v>
      </c>
      <c r="F32" s="171">
        <v>11086</v>
      </c>
      <c r="G32" s="171">
        <v>13823</v>
      </c>
      <c r="H32" s="171">
        <v>38621</v>
      </c>
    </row>
    <row r="33" spans="1:10" s="41" customFormat="1" ht="14.25" customHeight="1">
      <c r="A33" s="595" t="s">
        <v>61</v>
      </c>
      <c r="B33" s="115" t="s">
        <v>285</v>
      </c>
      <c r="C33" s="171">
        <v>16775</v>
      </c>
      <c r="D33" s="171">
        <v>727</v>
      </c>
      <c r="E33" s="171">
        <v>1519</v>
      </c>
      <c r="F33" s="171">
        <v>2055</v>
      </c>
      <c r="G33" s="171">
        <v>2485</v>
      </c>
      <c r="H33" s="171">
        <v>5350</v>
      </c>
    </row>
    <row r="34" spans="1:10" s="41" customFormat="1" ht="14.25" customHeight="1">
      <c r="A34" s="595"/>
      <c r="B34" s="115" t="s">
        <v>286</v>
      </c>
      <c r="C34" s="171">
        <v>18149</v>
      </c>
      <c r="D34" s="171">
        <v>835</v>
      </c>
      <c r="E34" s="171">
        <v>1708</v>
      </c>
      <c r="F34" s="171">
        <v>2237</v>
      </c>
      <c r="G34" s="171">
        <v>2834</v>
      </c>
      <c r="H34" s="171">
        <v>5515</v>
      </c>
    </row>
    <row r="35" spans="1:10" s="41" customFormat="1" ht="14.25" customHeight="1">
      <c r="A35" s="595" t="s">
        <v>62</v>
      </c>
      <c r="B35" s="115" t="s">
        <v>285</v>
      </c>
      <c r="C35" s="171">
        <v>22913</v>
      </c>
      <c r="D35" s="171">
        <v>955</v>
      </c>
      <c r="E35" s="171">
        <v>1751</v>
      </c>
      <c r="F35" s="171">
        <v>2531</v>
      </c>
      <c r="G35" s="171">
        <v>3210</v>
      </c>
      <c r="H35" s="171">
        <v>7559</v>
      </c>
    </row>
    <row r="36" spans="1:10" s="41" customFormat="1" ht="14.25" customHeight="1">
      <c r="A36" s="595"/>
      <c r="B36" s="115" t="s">
        <v>286</v>
      </c>
      <c r="C36" s="171">
        <v>23882</v>
      </c>
      <c r="D36" s="171">
        <v>1009</v>
      </c>
      <c r="E36" s="171">
        <v>2039</v>
      </c>
      <c r="F36" s="171">
        <v>2845</v>
      </c>
      <c r="G36" s="171">
        <v>3481</v>
      </c>
      <c r="H36" s="171">
        <v>7468</v>
      </c>
    </row>
    <row r="37" spans="1:10" s="41" customFormat="1" ht="14.25" customHeight="1">
      <c r="A37" s="595" t="s">
        <v>63</v>
      </c>
      <c r="B37" s="115" t="s">
        <v>285</v>
      </c>
      <c r="C37" s="171">
        <v>76409</v>
      </c>
      <c r="D37" s="171">
        <v>3640</v>
      </c>
      <c r="E37" s="171">
        <v>5875</v>
      </c>
      <c r="F37" s="171">
        <v>8394</v>
      </c>
      <c r="G37" s="171">
        <v>10738</v>
      </c>
      <c r="H37" s="171">
        <v>20610</v>
      </c>
    </row>
    <row r="38" spans="1:10" s="41" customFormat="1" ht="14.25" customHeight="1">
      <c r="A38" s="595"/>
      <c r="B38" s="115" t="s">
        <v>286</v>
      </c>
      <c r="C38" s="171">
        <v>87153</v>
      </c>
      <c r="D38" s="171">
        <v>3596</v>
      </c>
      <c r="E38" s="171">
        <v>6242</v>
      </c>
      <c r="F38" s="171">
        <v>9029</v>
      </c>
      <c r="G38" s="171">
        <v>12406</v>
      </c>
      <c r="H38" s="171">
        <v>29254</v>
      </c>
    </row>
    <row r="39" spans="1:10" s="41" customFormat="1" ht="14.25" customHeight="1">
      <c r="A39" s="595" t="s">
        <v>64</v>
      </c>
      <c r="B39" s="115" t="s">
        <v>285</v>
      </c>
      <c r="C39" s="171">
        <v>37003</v>
      </c>
      <c r="D39" s="171">
        <v>1504</v>
      </c>
      <c r="E39" s="171">
        <v>2371</v>
      </c>
      <c r="F39" s="171">
        <v>3624</v>
      </c>
      <c r="G39" s="171">
        <v>4589</v>
      </c>
      <c r="H39" s="171">
        <v>14562</v>
      </c>
    </row>
    <row r="40" spans="1:10" s="41" customFormat="1" ht="14.25" customHeight="1">
      <c r="A40" s="595"/>
      <c r="B40" s="115" t="s">
        <v>286</v>
      </c>
      <c r="C40" s="171">
        <v>36858</v>
      </c>
      <c r="D40" s="171">
        <v>1535</v>
      </c>
      <c r="E40" s="171">
        <v>2620</v>
      </c>
      <c r="F40" s="171">
        <v>4050</v>
      </c>
      <c r="G40" s="171">
        <v>5082</v>
      </c>
      <c r="H40" s="171">
        <v>13759</v>
      </c>
    </row>
    <row r="41" spans="1:10" ht="40.4" customHeight="1">
      <c r="A41" s="553" t="s">
        <v>243</v>
      </c>
      <c r="B41" s="554"/>
      <c r="C41" s="554"/>
      <c r="D41" s="554"/>
      <c r="E41" s="554"/>
      <c r="F41" s="554"/>
      <c r="G41" s="554"/>
      <c r="H41" s="555"/>
      <c r="J41" s="48"/>
    </row>
    <row r="42" spans="1:10" s="41" customFormat="1" ht="13.5" customHeight="1">
      <c r="A42" s="590" t="s">
        <v>298</v>
      </c>
      <c r="B42" s="115" t="s">
        <v>285</v>
      </c>
      <c r="C42" s="171">
        <v>170489</v>
      </c>
      <c r="D42" s="171">
        <v>7467</v>
      </c>
      <c r="E42" s="171">
        <v>16478</v>
      </c>
      <c r="F42" s="171">
        <v>24473</v>
      </c>
      <c r="G42" s="171">
        <v>32417</v>
      </c>
      <c r="H42" s="171">
        <v>59437</v>
      </c>
      <c r="J42" s="320"/>
    </row>
    <row r="43" spans="1:10" s="41" customFormat="1" ht="13.5" customHeight="1">
      <c r="A43" s="590"/>
      <c r="B43" s="52" t="s">
        <v>286</v>
      </c>
      <c r="C43" s="206">
        <v>172753</v>
      </c>
      <c r="D43" s="206">
        <v>8474</v>
      </c>
      <c r="E43" s="206">
        <v>16772</v>
      </c>
      <c r="F43" s="206">
        <v>25866</v>
      </c>
      <c r="G43" s="206">
        <v>36184</v>
      </c>
      <c r="H43" s="206">
        <v>51221</v>
      </c>
    </row>
    <row r="44" spans="1:10" s="41" customFormat="1" ht="13.5" customHeight="1">
      <c r="A44" s="595" t="s">
        <v>49</v>
      </c>
      <c r="B44" s="115" t="s">
        <v>285</v>
      </c>
      <c r="C44" s="171">
        <v>13322</v>
      </c>
      <c r="D44" s="171">
        <v>690</v>
      </c>
      <c r="E44" s="171">
        <v>1396</v>
      </c>
      <c r="F44" s="171">
        <v>1942</v>
      </c>
      <c r="G44" s="171">
        <v>2310</v>
      </c>
      <c r="H44" s="171">
        <v>4044</v>
      </c>
    </row>
    <row r="45" spans="1:10" s="41" customFormat="1" ht="13.5" customHeight="1">
      <c r="A45" s="595"/>
      <c r="B45" s="115" t="s">
        <v>286</v>
      </c>
      <c r="C45" s="171">
        <v>13158</v>
      </c>
      <c r="D45" s="171">
        <v>772</v>
      </c>
      <c r="E45" s="171">
        <v>1279</v>
      </c>
      <c r="F45" s="171">
        <v>2050</v>
      </c>
      <c r="G45" s="171">
        <v>2747</v>
      </c>
      <c r="H45" s="171">
        <v>3449</v>
      </c>
    </row>
    <row r="46" spans="1:10" s="41" customFormat="1" ht="13.5" customHeight="1">
      <c r="A46" s="595" t="s">
        <v>50</v>
      </c>
      <c r="B46" s="115" t="s">
        <v>285</v>
      </c>
      <c r="C46" s="171">
        <v>9128</v>
      </c>
      <c r="D46" s="171">
        <v>500</v>
      </c>
      <c r="E46" s="171">
        <v>926</v>
      </c>
      <c r="F46" s="171">
        <v>1460</v>
      </c>
      <c r="G46" s="171">
        <v>1899</v>
      </c>
      <c r="H46" s="171">
        <v>3038</v>
      </c>
    </row>
    <row r="47" spans="1:10" s="41" customFormat="1" ht="13.5" customHeight="1">
      <c r="A47" s="595"/>
      <c r="B47" s="115" t="s">
        <v>286</v>
      </c>
      <c r="C47" s="171">
        <v>12900</v>
      </c>
      <c r="D47" s="171">
        <v>579</v>
      </c>
      <c r="E47" s="171">
        <v>968</v>
      </c>
      <c r="F47" s="171">
        <v>1607</v>
      </c>
      <c r="G47" s="171">
        <v>1847</v>
      </c>
      <c r="H47" s="171">
        <v>2851</v>
      </c>
    </row>
    <row r="48" spans="1:10" s="41" customFormat="1" ht="13.5" customHeight="1">
      <c r="A48" s="595" t="s">
        <v>51</v>
      </c>
      <c r="B48" s="115" t="s">
        <v>285</v>
      </c>
      <c r="C48" s="171">
        <v>7756</v>
      </c>
      <c r="D48" s="171">
        <v>303</v>
      </c>
      <c r="E48" s="171">
        <v>642</v>
      </c>
      <c r="F48" s="171">
        <v>823</v>
      </c>
      <c r="G48" s="171">
        <v>1434</v>
      </c>
      <c r="H48" s="171">
        <v>3668</v>
      </c>
    </row>
    <row r="49" spans="1:8" s="41" customFormat="1" ht="13.5" customHeight="1">
      <c r="A49" s="595"/>
      <c r="B49" s="115" t="s">
        <v>286</v>
      </c>
      <c r="C49" s="171">
        <v>7261</v>
      </c>
      <c r="D49" s="171">
        <v>323</v>
      </c>
      <c r="E49" s="171">
        <v>708</v>
      </c>
      <c r="F49" s="171">
        <v>973</v>
      </c>
      <c r="G49" s="171">
        <v>1696</v>
      </c>
      <c r="H49" s="171">
        <v>2615</v>
      </c>
    </row>
    <row r="50" spans="1:8" s="41" customFormat="1" ht="13.5" customHeight="1">
      <c r="A50" s="595" t="s">
        <v>52</v>
      </c>
      <c r="B50" s="115" t="s">
        <v>285</v>
      </c>
      <c r="C50" s="171">
        <v>5718</v>
      </c>
      <c r="D50" s="171">
        <v>140</v>
      </c>
      <c r="E50" s="171">
        <v>449</v>
      </c>
      <c r="F50" s="171">
        <v>714</v>
      </c>
      <c r="G50" s="171">
        <v>1139</v>
      </c>
      <c r="H50" s="171">
        <v>2555</v>
      </c>
    </row>
    <row r="51" spans="1:8" s="41" customFormat="1" ht="13.5" customHeight="1">
      <c r="A51" s="595"/>
      <c r="B51" s="115" t="s">
        <v>286</v>
      </c>
      <c r="C51" s="171">
        <v>4800</v>
      </c>
      <c r="D51" s="171">
        <v>154</v>
      </c>
      <c r="E51" s="171">
        <v>400</v>
      </c>
      <c r="F51" s="171">
        <v>744</v>
      </c>
      <c r="G51" s="171">
        <v>1115</v>
      </c>
      <c r="H51" s="171">
        <v>1719</v>
      </c>
    </row>
    <row r="52" spans="1:8" s="41" customFormat="1" ht="13.5" customHeight="1">
      <c r="A52" s="595" t="s">
        <v>53</v>
      </c>
      <c r="B52" s="115" t="s">
        <v>285</v>
      </c>
      <c r="C52" s="171">
        <v>10535</v>
      </c>
      <c r="D52" s="171">
        <v>412</v>
      </c>
      <c r="E52" s="171">
        <v>1240</v>
      </c>
      <c r="F52" s="171">
        <v>1577</v>
      </c>
      <c r="G52" s="171">
        <v>2280</v>
      </c>
      <c r="H52" s="171">
        <v>3463</v>
      </c>
    </row>
    <row r="53" spans="1:8" s="41" customFormat="1" ht="13.5" customHeight="1">
      <c r="A53" s="595"/>
      <c r="B53" s="115" t="s">
        <v>286</v>
      </c>
      <c r="C53" s="171">
        <v>12272</v>
      </c>
      <c r="D53" s="171">
        <v>445</v>
      </c>
      <c r="E53" s="171">
        <v>1181</v>
      </c>
      <c r="F53" s="171">
        <v>1689</v>
      </c>
      <c r="G53" s="171">
        <v>2881</v>
      </c>
      <c r="H53" s="171">
        <v>2329</v>
      </c>
    </row>
    <row r="54" spans="1:8" s="41" customFormat="1" ht="13.5" customHeight="1">
      <c r="A54" s="595" t="s">
        <v>54</v>
      </c>
      <c r="B54" s="115" t="s">
        <v>285</v>
      </c>
      <c r="C54" s="171">
        <v>16087</v>
      </c>
      <c r="D54" s="171">
        <v>582</v>
      </c>
      <c r="E54" s="171">
        <v>1506</v>
      </c>
      <c r="F54" s="171">
        <v>2655</v>
      </c>
      <c r="G54" s="171">
        <v>2986</v>
      </c>
      <c r="H54" s="171">
        <v>5315</v>
      </c>
    </row>
    <row r="55" spans="1:8" s="41" customFormat="1" ht="13.5" customHeight="1">
      <c r="A55" s="595"/>
      <c r="B55" s="115" t="s">
        <v>286</v>
      </c>
      <c r="C55" s="171">
        <v>15628</v>
      </c>
      <c r="D55" s="171">
        <v>847</v>
      </c>
      <c r="E55" s="171">
        <v>1707</v>
      </c>
      <c r="F55" s="171">
        <v>2516</v>
      </c>
      <c r="G55" s="171">
        <v>3026</v>
      </c>
      <c r="H55" s="171">
        <v>4788</v>
      </c>
    </row>
    <row r="56" spans="1:8" s="41" customFormat="1" ht="13.5" customHeight="1">
      <c r="A56" s="595" t="s">
        <v>55</v>
      </c>
      <c r="B56" s="115" t="s">
        <v>285</v>
      </c>
      <c r="C56" s="171">
        <v>26557</v>
      </c>
      <c r="D56" s="171">
        <v>1216</v>
      </c>
      <c r="E56" s="171">
        <v>2650</v>
      </c>
      <c r="F56" s="171">
        <v>3765</v>
      </c>
      <c r="G56" s="171">
        <v>4153</v>
      </c>
      <c r="H56" s="171">
        <v>8957</v>
      </c>
    </row>
    <row r="57" spans="1:8" s="41" customFormat="1" ht="13.5" customHeight="1">
      <c r="A57" s="595"/>
      <c r="B57" s="115" t="s">
        <v>286</v>
      </c>
      <c r="C57" s="171">
        <v>25160</v>
      </c>
      <c r="D57" s="171">
        <v>1296</v>
      </c>
      <c r="E57" s="171">
        <v>2230</v>
      </c>
      <c r="F57" s="171">
        <v>3919</v>
      </c>
      <c r="G57" s="171">
        <v>5069</v>
      </c>
      <c r="H57" s="171">
        <v>7573</v>
      </c>
    </row>
    <row r="58" spans="1:8" s="41" customFormat="1" ht="13.5" customHeight="1">
      <c r="A58" s="595" t="s">
        <v>56</v>
      </c>
      <c r="B58" s="115" t="s">
        <v>285</v>
      </c>
      <c r="C58" s="171">
        <v>3590</v>
      </c>
      <c r="D58" s="171">
        <v>145</v>
      </c>
      <c r="E58" s="171">
        <v>303</v>
      </c>
      <c r="F58" s="171">
        <v>430</v>
      </c>
      <c r="G58" s="171">
        <v>752</v>
      </c>
      <c r="H58" s="171">
        <v>1298</v>
      </c>
    </row>
    <row r="59" spans="1:8" s="41" customFormat="1" ht="13.5" customHeight="1">
      <c r="A59" s="595"/>
      <c r="B59" s="115" t="s">
        <v>286</v>
      </c>
      <c r="C59" s="171">
        <v>3663</v>
      </c>
      <c r="D59" s="171">
        <v>167</v>
      </c>
      <c r="E59" s="171">
        <v>371</v>
      </c>
      <c r="F59" s="171">
        <v>517</v>
      </c>
      <c r="G59" s="171">
        <v>786</v>
      </c>
      <c r="H59" s="171">
        <v>1205</v>
      </c>
    </row>
    <row r="60" spans="1:8" s="41" customFormat="1" ht="13.5" customHeight="1">
      <c r="A60" s="595" t="s">
        <v>57</v>
      </c>
      <c r="B60" s="115" t="s">
        <v>285</v>
      </c>
      <c r="C60" s="171">
        <v>8704</v>
      </c>
      <c r="D60" s="171">
        <v>273</v>
      </c>
      <c r="E60" s="171">
        <v>799</v>
      </c>
      <c r="F60" s="171">
        <v>1189</v>
      </c>
      <c r="G60" s="171">
        <v>1548</v>
      </c>
      <c r="H60" s="171">
        <v>3735</v>
      </c>
    </row>
    <row r="61" spans="1:8" s="41" customFormat="1" ht="13.5" customHeight="1">
      <c r="A61" s="595"/>
      <c r="B61" s="115" t="s">
        <v>286</v>
      </c>
      <c r="C61" s="171">
        <v>7841</v>
      </c>
      <c r="D61" s="171">
        <v>361</v>
      </c>
      <c r="E61" s="171">
        <v>941</v>
      </c>
      <c r="F61" s="171">
        <v>1386</v>
      </c>
      <c r="G61" s="171">
        <v>1854</v>
      </c>
      <c r="H61" s="171">
        <v>2237</v>
      </c>
    </row>
    <row r="62" spans="1:8" s="41" customFormat="1" ht="13.5" customHeight="1">
      <c r="A62" s="595" t="s">
        <v>58</v>
      </c>
      <c r="B62" s="115" t="s">
        <v>285</v>
      </c>
      <c r="C62" s="171">
        <v>5246</v>
      </c>
      <c r="D62" s="171">
        <v>158</v>
      </c>
      <c r="E62" s="171">
        <v>471</v>
      </c>
      <c r="F62" s="171">
        <v>650</v>
      </c>
      <c r="G62" s="171">
        <v>1024</v>
      </c>
      <c r="H62" s="171">
        <v>2201</v>
      </c>
    </row>
    <row r="63" spans="1:8" s="41" customFormat="1" ht="13.5" customHeight="1">
      <c r="A63" s="595"/>
      <c r="B63" s="115" t="s">
        <v>286</v>
      </c>
      <c r="C63" s="171">
        <v>4975</v>
      </c>
      <c r="D63" s="171">
        <v>214</v>
      </c>
      <c r="E63" s="171">
        <v>470</v>
      </c>
      <c r="F63" s="171">
        <v>745</v>
      </c>
      <c r="G63" s="171">
        <v>1108</v>
      </c>
      <c r="H63" s="171">
        <v>1611</v>
      </c>
    </row>
    <row r="64" spans="1:8" s="41" customFormat="1" ht="13.5" customHeight="1">
      <c r="A64" s="595" t="s">
        <v>59</v>
      </c>
      <c r="B64" s="115" t="s">
        <v>285</v>
      </c>
      <c r="C64" s="171">
        <v>10430</v>
      </c>
      <c r="D64" s="171">
        <v>450</v>
      </c>
      <c r="E64" s="171">
        <v>948</v>
      </c>
      <c r="F64" s="171">
        <v>1413</v>
      </c>
      <c r="G64" s="171">
        <v>2261</v>
      </c>
      <c r="H64" s="171">
        <v>3461</v>
      </c>
    </row>
    <row r="65" spans="1:8" s="41" customFormat="1" ht="13.5" customHeight="1">
      <c r="A65" s="595"/>
      <c r="B65" s="115" t="s">
        <v>286</v>
      </c>
      <c r="C65" s="171">
        <v>10356</v>
      </c>
      <c r="D65" s="171">
        <v>572</v>
      </c>
      <c r="E65" s="171">
        <v>1019</v>
      </c>
      <c r="F65" s="171">
        <v>1403</v>
      </c>
      <c r="G65" s="171">
        <v>2466</v>
      </c>
      <c r="H65" s="171">
        <v>3133</v>
      </c>
    </row>
    <row r="66" spans="1:8" s="41" customFormat="1" ht="13.5" customHeight="1">
      <c r="A66" s="595" t="s">
        <v>60</v>
      </c>
      <c r="B66" s="115" t="s">
        <v>285</v>
      </c>
      <c r="C66" s="171">
        <v>21233</v>
      </c>
      <c r="D66" s="171">
        <v>965</v>
      </c>
      <c r="E66" s="171">
        <v>2120</v>
      </c>
      <c r="F66" s="171">
        <v>3363</v>
      </c>
      <c r="G66" s="171">
        <v>4039</v>
      </c>
      <c r="H66" s="171">
        <v>6739</v>
      </c>
    </row>
    <row r="67" spans="1:8" s="41" customFormat="1" ht="13.5" customHeight="1">
      <c r="A67" s="595"/>
      <c r="B67" s="115" t="s">
        <v>286</v>
      </c>
      <c r="C67" s="171">
        <v>20469</v>
      </c>
      <c r="D67" s="171">
        <v>955</v>
      </c>
      <c r="E67" s="171">
        <v>2137</v>
      </c>
      <c r="F67" s="171">
        <v>3199</v>
      </c>
      <c r="G67" s="171">
        <v>4057</v>
      </c>
      <c r="H67" s="171">
        <v>6504</v>
      </c>
    </row>
    <row r="68" spans="1:8" s="41" customFormat="1" ht="13.5" customHeight="1">
      <c r="A68" s="595" t="s">
        <v>61</v>
      </c>
      <c r="B68" s="115" t="s">
        <v>285</v>
      </c>
      <c r="C68" s="171">
        <v>3438</v>
      </c>
      <c r="D68" s="171">
        <v>138</v>
      </c>
      <c r="E68" s="171">
        <v>373</v>
      </c>
      <c r="F68" s="171">
        <v>505</v>
      </c>
      <c r="G68" s="171">
        <v>651</v>
      </c>
      <c r="H68" s="171">
        <v>1218</v>
      </c>
    </row>
    <row r="69" spans="1:8" s="41" customFormat="1" ht="13.5" customHeight="1">
      <c r="A69" s="595"/>
      <c r="B69" s="115" t="s">
        <v>286</v>
      </c>
      <c r="C69" s="171">
        <v>3983</v>
      </c>
      <c r="D69" s="171">
        <v>244</v>
      </c>
      <c r="E69" s="171">
        <v>466</v>
      </c>
      <c r="F69" s="171">
        <v>575</v>
      </c>
      <c r="G69" s="171">
        <v>742</v>
      </c>
      <c r="H69" s="171">
        <v>1209</v>
      </c>
    </row>
    <row r="70" spans="1:8" s="41" customFormat="1" ht="13.5" customHeight="1">
      <c r="A70" s="595" t="s">
        <v>62</v>
      </c>
      <c r="B70" s="115" t="s">
        <v>285</v>
      </c>
      <c r="C70" s="171">
        <v>5068</v>
      </c>
      <c r="D70" s="171">
        <v>203</v>
      </c>
      <c r="E70" s="171">
        <v>489</v>
      </c>
      <c r="F70" s="171">
        <v>678</v>
      </c>
      <c r="G70" s="171">
        <v>1135</v>
      </c>
      <c r="H70" s="171">
        <v>1912</v>
      </c>
    </row>
    <row r="71" spans="1:8" s="41" customFormat="1" ht="13.5" customHeight="1">
      <c r="A71" s="595"/>
      <c r="B71" s="115" t="s">
        <v>286</v>
      </c>
      <c r="C71" s="171">
        <v>5542</v>
      </c>
      <c r="D71" s="171">
        <v>282</v>
      </c>
      <c r="E71" s="171">
        <v>627</v>
      </c>
      <c r="F71" s="171">
        <v>872</v>
      </c>
      <c r="G71" s="171">
        <v>1200</v>
      </c>
      <c r="H71" s="171">
        <v>1819</v>
      </c>
    </row>
    <row r="72" spans="1:8" s="41" customFormat="1" ht="13.5" customHeight="1">
      <c r="A72" s="595" t="s">
        <v>63</v>
      </c>
      <c r="B72" s="115" t="s">
        <v>285</v>
      </c>
      <c r="C72" s="171">
        <v>16104</v>
      </c>
      <c r="D72" s="171">
        <v>959</v>
      </c>
      <c r="E72" s="171">
        <v>1608</v>
      </c>
      <c r="F72" s="171">
        <v>2329</v>
      </c>
      <c r="G72" s="171">
        <v>3401</v>
      </c>
      <c r="H72" s="171">
        <v>4701</v>
      </c>
    </row>
    <row r="73" spans="1:8" s="41" customFormat="1" ht="13.5" customHeight="1">
      <c r="A73" s="595"/>
      <c r="B73" s="115" t="s">
        <v>286</v>
      </c>
      <c r="C73" s="171">
        <v>17451</v>
      </c>
      <c r="D73" s="171">
        <v>966</v>
      </c>
      <c r="E73" s="171">
        <v>1641</v>
      </c>
      <c r="F73" s="171">
        <v>2596</v>
      </c>
      <c r="G73" s="171">
        <v>4031</v>
      </c>
      <c r="H73" s="171">
        <v>5466</v>
      </c>
    </row>
    <row r="74" spans="1:8" s="41" customFormat="1" ht="13.5" customHeight="1">
      <c r="A74" s="595" t="s">
        <v>64</v>
      </c>
      <c r="B74" s="115" t="s">
        <v>285</v>
      </c>
      <c r="C74" s="171">
        <v>7573</v>
      </c>
      <c r="D74" s="171">
        <v>333</v>
      </c>
      <c r="E74" s="171">
        <v>558</v>
      </c>
      <c r="F74" s="171">
        <v>980</v>
      </c>
      <c r="G74" s="171">
        <v>1405</v>
      </c>
      <c r="H74" s="171">
        <v>3132</v>
      </c>
    </row>
    <row r="75" spans="1:8" s="41" customFormat="1" ht="13.5" customHeight="1">
      <c r="A75" s="595"/>
      <c r="B75" s="115" t="s">
        <v>286</v>
      </c>
      <c r="C75" s="171">
        <v>7294</v>
      </c>
      <c r="D75" s="171">
        <v>297</v>
      </c>
      <c r="E75" s="171">
        <v>627</v>
      </c>
      <c r="F75" s="171">
        <v>1075</v>
      </c>
      <c r="G75" s="171">
        <v>1559</v>
      </c>
      <c r="H75" s="171">
        <v>2713</v>
      </c>
    </row>
    <row r="76" spans="1:8" s="41" customFormat="1" ht="24" customHeight="1">
      <c r="A76" s="119"/>
      <c r="B76" s="120"/>
      <c r="C76" s="117"/>
      <c r="D76" s="117"/>
      <c r="E76" s="117"/>
      <c r="F76" s="117"/>
      <c r="G76" s="117"/>
      <c r="H76" s="117"/>
    </row>
    <row r="77" spans="1:8" ht="25.4" customHeight="1">
      <c r="A77" s="562" t="s">
        <v>295</v>
      </c>
      <c r="B77" s="562"/>
      <c r="C77" s="562"/>
      <c r="D77" s="562"/>
      <c r="E77" s="562"/>
      <c r="F77" s="562"/>
      <c r="G77" s="562"/>
      <c r="H77" s="562"/>
    </row>
    <row r="78" spans="1:8" ht="25.4" customHeight="1">
      <c r="A78" s="561" t="s">
        <v>296</v>
      </c>
      <c r="B78" s="561"/>
      <c r="C78" s="561"/>
      <c r="D78" s="561"/>
      <c r="E78" s="561"/>
      <c r="F78" s="561"/>
      <c r="G78" s="561"/>
      <c r="H78" s="561"/>
    </row>
  </sheetData>
  <mergeCells count="44">
    <mergeCell ref="A77:H77"/>
    <mergeCell ref="A78:H78"/>
    <mergeCell ref="A64:A65"/>
    <mergeCell ref="A66:A67"/>
    <mergeCell ref="A68:A69"/>
    <mergeCell ref="A70:A71"/>
    <mergeCell ref="A72:A73"/>
    <mergeCell ref="A74:A75"/>
    <mergeCell ref="A62:A63"/>
    <mergeCell ref="A41:H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39:A40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15:A16"/>
    <mergeCell ref="A1:H1"/>
    <mergeCell ref="A2:H2"/>
    <mergeCell ref="G3:H3"/>
    <mergeCell ref="A4:B5"/>
    <mergeCell ref="C4:C5"/>
    <mergeCell ref="D4:H4"/>
    <mergeCell ref="A6:H6"/>
    <mergeCell ref="A7:A8"/>
    <mergeCell ref="A9:A10"/>
    <mergeCell ref="A11:A12"/>
    <mergeCell ref="A13:A14"/>
  </mergeCells>
  <hyperlinks>
    <hyperlink ref="G3" location="'Spis tablic'!A4" display="Powrót do spisu treści" xr:uid="{00000000-0004-0000-1800-000000000000}"/>
    <hyperlink ref="G3:H3" location="'Spis tablic  List of tables'!A51" display="'Spis tablic  List of tables'!A51" xr:uid="{00000000-0004-0000-1800-000001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6"/>
  <dimension ref="A1:Q304"/>
  <sheetViews>
    <sheetView zoomScaleNormal="100" workbookViewId="0">
      <pane ySplit="5" topLeftCell="A6" activePane="bottomLeft" state="frozen"/>
      <selection activeCell="G12" sqref="G12"/>
      <selection pane="bottomLeft" activeCell="G3" sqref="G3:H3"/>
    </sheetView>
  </sheetViews>
  <sheetFormatPr defaultColWidth="9.1796875" defaultRowHeight="14.5"/>
  <cols>
    <col min="1" max="1" width="20.54296875" style="50" customWidth="1"/>
    <col min="2" max="2" width="3.453125" style="123" customWidth="1"/>
    <col min="3" max="3" width="10.453125" style="50" customWidth="1"/>
    <col min="4" max="4" width="11.453125" style="50" customWidth="1"/>
    <col min="5" max="9" width="10.453125" style="50" customWidth="1"/>
    <col min="10" max="16384" width="9.1796875" style="50"/>
  </cols>
  <sheetData>
    <row r="1" spans="1:10" s="39" customFormat="1" ht="29.15" customHeight="1">
      <c r="A1" s="545" t="s">
        <v>979</v>
      </c>
      <c r="B1" s="545"/>
      <c r="C1" s="545"/>
      <c r="D1" s="545"/>
      <c r="E1" s="545"/>
      <c r="F1" s="545"/>
      <c r="G1" s="545"/>
      <c r="H1" s="545"/>
    </row>
    <row r="2" spans="1:10" s="39" customFormat="1" ht="25.4" customHeight="1">
      <c r="A2" s="556" t="s">
        <v>962</v>
      </c>
      <c r="B2" s="556"/>
      <c r="C2" s="556"/>
      <c r="D2" s="556"/>
      <c r="E2" s="556"/>
      <c r="F2" s="556"/>
      <c r="G2" s="556"/>
      <c r="H2" s="556"/>
    </row>
    <row r="3" spans="1:10" s="39" customFormat="1" ht="30" customHeight="1">
      <c r="B3" s="49"/>
      <c r="G3" s="537" t="s">
        <v>5</v>
      </c>
      <c r="H3" s="596"/>
    </row>
    <row r="4" spans="1:10" ht="26.25" customHeight="1">
      <c r="A4" s="584" t="s">
        <v>1191</v>
      </c>
      <c r="B4" s="548"/>
      <c r="C4" s="539" t="s">
        <v>284</v>
      </c>
      <c r="D4" s="543" t="s">
        <v>287</v>
      </c>
      <c r="E4" s="544"/>
      <c r="F4" s="544"/>
      <c r="G4" s="544"/>
      <c r="H4" s="544"/>
    </row>
    <row r="5" spans="1:10" ht="40">
      <c r="A5" s="591"/>
      <c r="B5" s="550"/>
      <c r="C5" s="540"/>
      <c r="D5" s="44" t="s">
        <v>282</v>
      </c>
      <c r="E5" s="44" t="s">
        <v>283</v>
      </c>
      <c r="F5" s="44" t="s">
        <v>288</v>
      </c>
      <c r="G5" s="44" t="s">
        <v>289</v>
      </c>
      <c r="H5" s="45" t="s">
        <v>290</v>
      </c>
      <c r="J5" s="48"/>
    </row>
    <row r="6" spans="1:10" ht="40.4" customHeight="1">
      <c r="A6" s="538" t="s">
        <v>48</v>
      </c>
      <c r="B6" s="538"/>
      <c r="C6" s="552"/>
      <c r="D6" s="552"/>
      <c r="E6" s="552"/>
      <c r="F6" s="552"/>
      <c r="G6" s="552"/>
      <c r="H6" s="552"/>
    </row>
    <row r="7" spans="1:10" ht="14.25" customHeight="1">
      <c r="A7" s="599" t="s">
        <v>299</v>
      </c>
      <c r="B7" s="78" t="s">
        <v>285</v>
      </c>
      <c r="C7" s="171">
        <v>833124</v>
      </c>
      <c r="D7" s="171">
        <v>35325</v>
      </c>
      <c r="E7" s="171">
        <v>63297</v>
      </c>
      <c r="F7" s="171">
        <v>86175</v>
      </c>
      <c r="G7" s="171">
        <v>105155</v>
      </c>
      <c r="H7" s="171">
        <v>269721</v>
      </c>
    </row>
    <row r="8" spans="1:10" ht="14.25" customHeight="1">
      <c r="A8" s="599"/>
      <c r="B8" s="122" t="s">
        <v>286</v>
      </c>
      <c r="C8" s="222">
        <v>857690</v>
      </c>
      <c r="D8" s="222">
        <v>36622</v>
      </c>
      <c r="E8" s="222">
        <v>65689</v>
      </c>
      <c r="F8" s="222">
        <v>91179</v>
      </c>
      <c r="G8" s="222">
        <v>117038</v>
      </c>
      <c r="H8" s="206">
        <v>267225</v>
      </c>
    </row>
    <row r="9" spans="1:10" ht="14.25" customHeight="1">
      <c r="A9" s="598" t="s">
        <v>82</v>
      </c>
      <c r="B9" s="78" t="s">
        <v>285</v>
      </c>
      <c r="C9" s="170">
        <v>3098</v>
      </c>
      <c r="D9" s="170">
        <v>43</v>
      </c>
      <c r="E9" s="170">
        <v>519</v>
      </c>
      <c r="F9" s="170">
        <v>930</v>
      </c>
      <c r="G9" s="170">
        <v>1541</v>
      </c>
      <c r="H9" s="171">
        <v>35</v>
      </c>
    </row>
    <row r="10" spans="1:10" ht="14.25" customHeight="1">
      <c r="A10" s="598"/>
      <c r="B10" s="78" t="s">
        <v>286</v>
      </c>
      <c r="C10" s="170">
        <v>3308</v>
      </c>
      <c r="D10" s="170">
        <v>91</v>
      </c>
      <c r="E10" s="170">
        <v>744</v>
      </c>
      <c r="F10" s="170">
        <v>1223</v>
      </c>
      <c r="G10" s="170">
        <v>1199</v>
      </c>
      <c r="H10" s="171">
        <v>12</v>
      </c>
    </row>
    <row r="11" spans="1:10" ht="14.25" customHeight="1">
      <c r="A11" s="598" t="s">
        <v>83</v>
      </c>
      <c r="B11" s="78" t="s">
        <v>285</v>
      </c>
      <c r="C11" s="170">
        <v>6944</v>
      </c>
      <c r="D11" s="170">
        <v>27</v>
      </c>
      <c r="E11" s="170">
        <v>135</v>
      </c>
      <c r="F11" s="170">
        <v>207</v>
      </c>
      <c r="G11" s="170">
        <v>165</v>
      </c>
      <c r="H11" s="171">
        <v>199</v>
      </c>
    </row>
    <row r="12" spans="1:10" ht="14.25" customHeight="1">
      <c r="A12" s="598"/>
      <c r="B12" s="78" t="s">
        <v>286</v>
      </c>
      <c r="C12" s="170">
        <v>6944</v>
      </c>
      <c r="D12" s="170">
        <v>27</v>
      </c>
      <c r="E12" s="170">
        <v>135</v>
      </c>
      <c r="F12" s="170">
        <v>207</v>
      </c>
      <c r="G12" s="170">
        <v>165</v>
      </c>
      <c r="H12" s="171">
        <v>199</v>
      </c>
    </row>
    <row r="13" spans="1:10" ht="14.25" customHeight="1">
      <c r="A13" s="598" t="s">
        <v>949</v>
      </c>
      <c r="B13" s="78" t="s">
        <v>285</v>
      </c>
      <c r="C13" s="171">
        <v>188</v>
      </c>
      <c r="D13" s="205" t="s">
        <v>1074</v>
      </c>
      <c r="E13" s="171">
        <v>10</v>
      </c>
      <c r="F13" s="205" t="s">
        <v>1074</v>
      </c>
      <c r="G13" s="205" t="s">
        <v>1074</v>
      </c>
      <c r="H13" s="171">
        <v>28</v>
      </c>
    </row>
    <row r="14" spans="1:10" ht="14.25" customHeight="1">
      <c r="A14" s="598"/>
      <c r="B14" s="78" t="s">
        <v>286</v>
      </c>
      <c r="C14" s="171">
        <v>184</v>
      </c>
      <c r="D14" s="205" t="s">
        <v>1074</v>
      </c>
      <c r="E14" s="171">
        <v>14</v>
      </c>
      <c r="F14" s="205" t="s">
        <v>1074</v>
      </c>
      <c r="G14" s="205" t="s">
        <v>1074</v>
      </c>
      <c r="H14" s="171">
        <v>36</v>
      </c>
    </row>
    <row r="15" spans="1:10" ht="14.25" customHeight="1">
      <c r="A15" s="598" t="s">
        <v>84</v>
      </c>
      <c r="B15" s="78" t="s">
        <v>285</v>
      </c>
      <c r="C15" s="171">
        <v>4532</v>
      </c>
      <c r="D15" s="171">
        <v>195</v>
      </c>
      <c r="E15" s="171">
        <v>267</v>
      </c>
      <c r="F15" s="171">
        <v>566</v>
      </c>
      <c r="G15" s="171">
        <v>864</v>
      </c>
      <c r="H15" s="171">
        <v>1554</v>
      </c>
    </row>
    <row r="16" spans="1:10" ht="14.25" customHeight="1">
      <c r="A16" s="598"/>
      <c r="B16" s="78" t="s">
        <v>286</v>
      </c>
      <c r="C16" s="171">
        <v>3916</v>
      </c>
      <c r="D16" s="171">
        <v>170</v>
      </c>
      <c r="E16" s="171">
        <v>198</v>
      </c>
      <c r="F16" s="171">
        <v>364</v>
      </c>
      <c r="G16" s="171">
        <v>1655</v>
      </c>
      <c r="H16" s="171">
        <v>684</v>
      </c>
    </row>
    <row r="17" spans="1:8" ht="14.25" customHeight="1">
      <c r="A17" s="598" t="s">
        <v>300</v>
      </c>
      <c r="B17" s="78" t="s">
        <v>285</v>
      </c>
      <c r="C17" s="171">
        <v>1279</v>
      </c>
      <c r="D17" s="171">
        <v>87</v>
      </c>
      <c r="E17" s="171">
        <v>149</v>
      </c>
      <c r="F17" s="171">
        <v>264</v>
      </c>
      <c r="G17" s="171">
        <v>237</v>
      </c>
      <c r="H17" s="171">
        <v>375</v>
      </c>
    </row>
    <row r="18" spans="1:8" ht="14.25" customHeight="1">
      <c r="A18" s="598"/>
      <c r="B18" s="78" t="s">
        <v>286</v>
      </c>
      <c r="C18" s="171">
        <v>1533</v>
      </c>
      <c r="D18" s="171">
        <v>202</v>
      </c>
      <c r="E18" s="171">
        <v>146</v>
      </c>
      <c r="F18" s="171">
        <v>230</v>
      </c>
      <c r="G18" s="171">
        <v>268</v>
      </c>
      <c r="H18" s="171">
        <v>410</v>
      </c>
    </row>
    <row r="19" spans="1:8" ht="14.25" customHeight="1">
      <c r="A19" s="598" t="s">
        <v>88</v>
      </c>
      <c r="B19" s="78" t="s">
        <v>285</v>
      </c>
      <c r="C19" s="171">
        <v>453</v>
      </c>
      <c r="D19" s="171">
        <v>32</v>
      </c>
      <c r="E19" s="171">
        <v>49</v>
      </c>
      <c r="F19" s="171">
        <v>97</v>
      </c>
      <c r="G19" s="171">
        <v>243</v>
      </c>
      <c r="H19" s="205" t="s">
        <v>1074</v>
      </c>
    </row>
    <row r="20" spans="1:8" ht="14.25" customHeight="1">
      <c r="A20" s="598"/>
      <c r="B20" s="78" t="s">
        <v>286</v>
      </c>
      <c r="C20" s="171">
        <v>530</v>
      </c>
      <c r="D20" s="171">
        <v>39</v>
      </c>
      <c r="E20" s="171">
        <v>47</v>
      </c>
      <c r="F20" s="171">
        <v>77</v>
      </c>
      <c r="G20" s="171">
        <v>334</v>
      </c>
      <c r="H20" s="205" t="s">
        <v>1074</v>
      </c>
    </row>
    <row r="21" spans="1:8" ht="14.25" customHeight="1">
      <c r="A21" s="598" t="s">
        <v>89</v>
      </c>
      <c r="B21" s="78" t="s">
        <v>285</v>
      </c>
      <c r="C21" s="171">
        <v>5179</v>
      </c>
      <c r="D21" s="205" t="s">
        <v>1074</v>
      </c>
      <c r="E21" s="171">
        <v>135</v>
      </c>
      <c r="F21" s="171">
        <v>435</v>
      </c>
      <c r="G21" s="171">
        <v>199</v>
      </c>
      <c r="H21" s="171">
        <v>4</v>
      </c>
    </row>
    <row r="22" spans="1:8" ht="14.25" customHeight="1">
      <c r="A22" s="598"/>
      <c r="B22" s="78" t="s">
        <v>286</v>
      </c>
      <c r="C22" s="171">
        <v>5319</v>
      </c>
      <c r="D22" s="205" t="s">
        <v>1074</v>
      </c>
      <c r="E22" s="171">
        <v>140</v>
      </c>
      <c r="F22" s="171">
        <v>435</v>
      </c>
      <c r="G22" s="171">
        <v>218</v>
      </c>
      <c r="H22" s="171">
        <v>53</v>
      </c>
    </row>
    <row r="23" spans="1:8" ht="14.25" customHeight="1">
      <c r="A23" s="597" t="s">
        <v>301</v>
      </c>
      <c r="B23" s="78" t="s">
        <v>285</v>
      </c>
      <c r="C23" s="171">
        <v>48</v>
      </c>
      <c r="D23" s="171">
        <v>10</v>
      </c>
      <c r="E23" s="171">
        <v>21</v>
      </c>
      <c r="F23" s="171">
        <v>6</v>
      </c>
      <c r="G23" s="205" t="s">
        <v>1074</v>
      </c>
      <c r="H23" s="205" t="s">
        <v>1074</v>
      </c>
    </row>
    <row r="24" spans="1:8" ht="14.25" customHeight="1">
      <c r="A24" s="597"/>
      <c r="B24" s="78" t="s">
        <v>286</v>
      </c>
      <c r="C24" s="171">
        <v>46</v>
      </c>
      <c r="D24" s="171">
        <v>9</v>
      </c>
      <c r="E24" s="171">
        <v>21</v>
      </c>
      <c r="F24" s="171">
        <v>6</v>
      </c>
      <c r="G24" s="205" t="s">
        <v>1074</v>
      </c>
      <c r="H24" s="205" t="s">
        <v>1074</v>
      </c>
    </row>
    <row r="25" spans="1:8" ht="14.25" customHeight="1">
      <c r="A25" s="597" t="s">
        <v>302</v>
      </c>
      <c r="B25" s="78" t="s">
        <v>285</v>
      </c>
      <c r="C25" s="171">
        <v>93</v>
      </c>
      <c r="D25" s="205" t="s">
        <v>1074</v>
      </c>
      <c r="E25" s="205" t="s">
        <v>1074</v>
      </c>
      <c r="F25" s="205" t="s">
        <v>1074</v>
      </c>
      <c r="G25" s="205" t="s">
        <v>1074</v>
      </c>
      <c r="H25" s="205" t="s">
        <v>1074</v>
      </c>
    </row>
    <row r="26" spans="1:8" ht="14.25" customHeight="1">
      <c r="A26" s="597"/>
      <c r="B26" s="78" t="s">
        <v>286</v>
      </c>
      <c r="C26" s="171">
        <v>93</v>
      </c>
      <c r="D26" s="205" t="s">
        <v>1074</v>
      </c>
      <c r="E26" s="205" t="s">
        <v>1074</v>
      </c>
      <c r="F26" s="205" t="s">
        <v>1074</v>
      </c>
      <c r="G26" s="205" t="s">
        <v>1074</v>
      </c>
      <c r="H26" s="205" t="s">
        <v>1074</v>
      </c>
    </row>
    <row r="27" spans="1:8" ht="14.25" customHeight="1">
      <c r="A27" s="598" t="s">
        <v>93</v>
      </c>
      <c r="B27" s="78" t="s">
        <v>285</v>
      </c>
      <c r="C27" s="171">
        <v>2923</v>
      </c>
      <c r="D27" s="171">
        <v>467</v>
      </c>
      <c r="E27" s="171">
        <v>676</v>
      </c>
      <c r="F27" s="171">
        <v>883</v>
      </c>
      <c r="G27" s="171">
        <v>588</v>
      </c>
      <c r="H27" s="205" t="s">
        <v>1074</v>
      </c>
    </row>
    <row r="28" spans="1:8" ht="14.25" customHeight="1">
      <c r="A28" s="598"/>
      <c r="B28" s="78" t="s">
        <v>286</v>
      </c>
      <c r="C28" s="171">
        <v>3631</v>
      </c>
      <c r="D28" s="171">
        <v>578</v>
      </c>
      <c r="E28" s="171">
        <v>877</v>
      </c>
      <c r="F28" s="171">
        <v>1049</v>
      </c>
      <c r="G28" s="171">
        <v>718</v>
      </c>
      <c r="H28" s="205" t="s">
        <v>1074</v>
      </c>
    </row>
    <row r="29" spans="1:8" ht="14.25" customHeight="1">
      <c r="A29" s="598" t="s">
        <v>94</v>
      </c>
      <c r="B29" s="78" t="s">
        <v>285</v>
      </c>
      <c r="C29" s="171">
        <v>6219</v>
      </c>
      <c r="D29" s="171">
        <v>78</v>
      </c>
      <c r="E29" s="171">
        <v>130</v>
      </c>
      <c r="F29" s="171">
        <v>343</v>
      </c>
      <c r="G29" s="171">
        <v>260</v>
      </c>
      <c r="H29" s="171">
        <v>326</v>
      </c>
    </row>
    <row r="30" spans="1:8" ht="14.25" customHeight="1">
      <c r="A30" s="598"/>
      <c r="B30" s="78" t="s">
        <v>286</v>
      </c>
      <c r="C30" s="171">
        <v>6388</v>
      </c>
      <c r="D30" s="171">
        <v>68</v>
      </c>
      <c r="E30" s="171">
        <v>127</v>
      </c>
      <c r="F30" s="171">
        <v>329</v>
      </c>
      <c r="G30" s="171">
        <v>307</v>
      </c>
      <c r="H30" s="171">
        <v>292</v>
      </c>
    </row>
    <row r="31" spans="1:8" ht="14.25" customHeight="1">
      <c r="A31" s="594" t="s">
        <v>95</v>
      </c>
      <c r="B31" s="78" t="s">
        <v>285</v>
      </c>
      <c r="C31" s="171">
        <v>3524</v>
      </c>
      <c r="D31" s="205" t="s">
        <v>1074</v>
      </c>
      <c r="E31" s="171">
        <v>981</v>
      </c>
      <c r="F31" s="171">
        <v>1206</v>
      </c>
      <c r="G31" s="205" t="s">
        <v>1074</v>
      </c>
      <c r="H31" s="171">
        <v>588</v>
      </c>
    </row>
    <row r="32" spans="1:8" ht="14.25" customHeight="1">
      <c r="A32" s="594"/>
      <c r="B32" s="78" t="s">
        <v>286</v>
      </c>
      <c r="C32" s="171">
        <v>4653</v>
      </c>
      <c r="D32" s="171">
        <v>1020</v>
      </c>
      <c r="E32" s="171">
        <v>1010</v>
      </c>
      <c r="F32" s="171">
        <v>1233</v>
      </c>
      <c r="G32" s="205" t="s">
        <v>1074</v>
      </c>
      <c r="H32" s="171">
        <v>630</v>
      </c>
    </row>
    <row r="33" spans="1:8" ht="14.25" customHeight="1">
      <c r="A33" s="600" t="s">
        <v>948</v>
      </c>
      <c r="B33" s="78" t="s">
        <v>285</v>
      </c>
      <c r="C33" s="171">
        <v>105</v>
      </c>
      <c r="D33" s="205" t="s">
        <v>1074</v>
      </c>
      <c r="E33" s="205" t="s">
        <v>1074</v>
      </c>
      <c r="F33" s="205" t="s">
        <v>1074</v>
      </c>
      <c r="G33" s="205" t="s">
        <v>1074</v>
      </c>
      <c r="H33" s="205" t="s">
        <v>1074</v>
      </c>
    </row>
    <row r="34" spans="1:8" ht="14.25" customHeight="1">
      <c r="A34" s="600"/>
      <c r="B34" s="78" t="s">
        <v>286</v>
      </c>
      <c r="C34" s="171">
        <v>110</v>
      </c>
      <c r="D34" s="205" t="s">
        <v>1074</v>
      </c>
      <c r="E34" s="205" t="s">
        <v>1074</v>
      </c>
      <c r="F34" s="205" t="s">
        <v>1074</v>
      </c>
      <c r="G34" s="205" t="s">
        <v>1074</v>
      </c>
      <c r="H34" s="205" t="s">
        <v>1074</v>
      </c>
    </row>
    <row r="35" spans="1:8" ht="14.25" customHeight="1">
      <c r="A35" s="600" t="s">
        <v>97</v>
      </c>
      <c r="B35" s="78" t="s">
        <v>285</v>
      </c>
      <c r="C35" s="171">
        <v>1465</v>
      </c>
      <c r="D35" s="205" t="s">
        <v>1074</v>
      </c>
      <c r="E35" s="171">
        <v>305</v>
      </c>
      <c r="F35" s="205" t="s">
        <v>1074</v>
      </c>
      <c r="G35" s="205" t="s">
        <v>1074</v>
      </c>
      <c r="H35" s="205" t="s">
        <v>1074</v>
      </c>
    </row>
    <row r="36" spans="1:8" ht="14.25" customHeight="1">
      <c r="A36" s="600"/>
      <c r="B36" s="78" t="s">
        <v>286</v>
      </c>
      <c r="C36" s="171">
        <v>1465</v>
      </c>
      <c r="D36" s="205" t="s">
        <v>1074</v>
      </c>
      <c r="E36" s="171">
        <v>305</v>
      </c>
      <c r="F36" s="205" t="s">
        <v>1074</v>
      </c>
      <c r="G36" s="205" t="s">
        <v>1074</v>
      </c>
      <c r="H36" s="205" t="s">
        <v>1074</v>
      </c>
    </row>
    <row r="37" spans="1:8" ht="14.25" customHeight="1">
      <c r="A37" s="600" t="s">
        <v>929</v>
      </c>
      <c r="B37" s="78" t="s">
        <v>285</v>
      </c>
      <c r="C37" s="171">
        <v>919</v>
      </c>
      <c r="D37" s="171">
        <v>45</v>
      </c>
      <c r="E37" s="171">
        <v>173</v>
      </c>
      <c r="F37" s="171">
        <v>314</v>
      </c>
      <c r="G37" s="171">
        <v>363</v>
      </c>
      <c r="H37" s="171">
        <v>17</v>
      </c>
    </row>
    <row r="38" spans="1:8" ht="14.25" customHeight="1">
      <c r="A38" s="600"/>
      <c r="B38" s="78" t="s">
        <v>286</v>
      </c>
      <c r="C38" s="171">
        <v>940</v>
      </c>
      <c r="D38" s="171">
        <v>103</v>
      </c>
      <c r="E38" s="171">
        <v>172</v>
      </c>
      <c r="F38" s="171">
        <v>230</v>
      </c>
      <c r="G38" s="171">
        <v>417</v>
      </c>
      <c r="H38" s="171">
        <v>9</v>
      </c>
    </row>
    <row r="39" spans="1:8" ht="14.25" customHeight="1">
      <c r="A39" s="600" t="s">
        <v>928</v>
      </c>
      <c r="B39" s="78" t="s">
        <v>285</v>
      </c>
      <c r="C39" s="171">
        <v>793</v>
      </c>
      <c r="D39" s="171">
        <v>40</v>
      </c>
      <c r="E39" s="171">
        <v>100</v>
      </c>
      <c r="F39" s="171">
        <v>298</v>
      </c>
      <c r="G39" s="171">
        <v>342</v>
      </c>
      <c r="H39" s="205" t="s">
        <v>1074</v>
      </c>
    </row>
    <row r="40" spans="1:8" ht="14.25" customHeight="1">
      <c r="A40" s="600"/>
      <c r="B40" s="78" t="s">
        <v>286</v>
      </c>
      <c r="C40" s="171">
        <v>801</v>
      </c>
      <c r="D40" s="171">
        <v>38</v>
      </c>
      <c r="E40" s="171">
        <v>68</v>
      </c>
      <c r="F40" s="171">
        <v>384</v>
      </c>
      <c r="G40" s="171">
        <v>277</v>
      </c>
      <c r="H40" s="171">
        <v>9</v>
      </c>
    </row>
    <row r="41" spans="1:8" ht="14.25" customHeight="1">
      <c r="A41" s="601" t="s">
        <v>303</v>
      </c>
      <c r="B41" s="78" t="s">
        <v>285</v>
      </c>
      <c r="C41" s="171">
        <v>7106</v>
      </c>
      <c r="D41" s="171">
        <v>196</v>
      </c>
      <c r="E41" s="171">
        <v>228</v>
      </c>
      <c r="F41" s="171">
        <v>246</v>
      </c>
      <c r="G41" s="171">
        <v>134</v>
      </c>
      <c r="H41" s="171">
        <v>146</v>
      </c>
    </row>
    <row r="42" spans="1:8" ht="14.25" customHeight="1">
      <c r="A42" s="601"/>
      <c r="B42" s="78" t="s">
        <v>286</v>
      </c>
      <c r="C42" s="171">
        <v>7633</v>
      </c>
      <c r="D42" s="171">
        <v>267</v>
      </c>
      <c r="E42" s="171">
        <v>234</v>
      </c>
      <c r="F42" s="171">
        <v>238</v>
      </c>
      <c r="G42" s="171">
        <v>126</v>
      </c>
      <c r="H42" s="171">
        <v>145</v>
      </c>
    </row>
    <row r="43" spans="1:8" ht="14.25" customHeight="1">
      <c r="A43" s="600" t="s">
        <v>304</v>
      </c>
      <c r="B43" s="78" t="s">
        <v>285</v>
      </c>
      <c r="C43" s="171">
        <v>7950</v>
      </c>
      <c r="D43" s="205" t="s">
        <v>1074</v>
      </c>
      <c r="E43" s="171">
        <v>2976</v>
      </c>
      <c r="F43" s="205" t="s">
        <v>1074</v>
      </c>
      <c r="G43" s="205" t="s">
        <v>1074</v>
      </c>
      <c r="H43" s="171">
        <v>322</v>
      </c>
    </row>
    <row r="44" spans="1:8" ht="14.25" customHeight="1">
      <c r="A44" s="600"/>
      <c r="B44" s="78" t="s">
        <v>286</v>
      </c>
      <c r="C44" s="171">
        <v>7997</v>
      </c>
      <c r="D44" s="205" t="s">
        <v>1074</v>
      </c>
      <c r="E44" s="171">
        <v>2903</v>
      </c>
      <c r="F44" s="205" t="s">
        <v>1074</v>
      </c>
      <c r="G44" s="205" t="s">
        <v>1074</v>
      </c>
      <c r="H44" s="171">
        <v>267</v>
      </c>
    </row>
    <row r="45" spans="1:8" ht="14.25" customHeight="1">
      <c r="A45" s="600" t="s">
        <v>255</v>
      </c>
      <c r="B45" s="78" t="s">
        <v>285</v>
      </c>
      <c r="C45" s="171">
        <v>4390</v>
      </c>
      <c r="D45" s="171">
        <v>210</v>
      </c>
      <c r="E45" s="171">
        <v>400</v>
      </c>
      <c r="F45" s="171">
        <v>490</v>
      </c>
      <c r="G45" s="171">
        <v>980</v>
      </c>
      <c r="H45" s="171">
        <v>1520</v>
      </c>
    </row>
    <row r="46" spans="1:8" ht="14.25" customHeight="1">
      <c r="A46" s="600"/>
      <c r="B46" s="78" t="s">
        <v>286</v>
      </c>
      <c r="C46" s="171">
        <v>2294</v>
      </c>
      <c r="D46" s="205" t="s">
        <v>1074</v>
      </c>
      <c r="E46" s="171">
        <v>334</v>
      </c>
      <c r="F46" s="171">
        <v>494</v>
      </c>
      <c r="G46" s="171">
        <v>578</v>
      </c>
      <c r="H46" s="171">
        <v>700</v>
      </c>
    </row>
    <row r="47" spans="1:8" ht="14.25" customHeight="1">
      <c r="A47" s="600" t="s">
        <v>950</v>
      </c>
      <c r="B47" s="78" t="s">
        <v>285</v>
      </c>
      <c r="C47" s="171">
        <v>120</v>
      </c>
      <c r="D47" s="171">
        <v>25</v>
      </c>
      <c r="E47" s="171">
        <v>28</v>
      </c>
      <c r="F47" s="205" t="s">
        <v>1074</v>
      </c>
      <c r="G47" s="205" t="s">
        <v>1074</v>
      </c>
      <c r="H47" s="205" t="s">
        <v>1074</v>
      </c>
    </row>
    <row r="48" spans="1:8" ht="14.25" customHeight="1">
      <c r="A48" s="600"/>
      <c r="B48" s="78" t="s">
        <v>286</v>
      </c>
      <c r="C48" s="171">
        <v>105</v>
      </c>
      <c r="D48" s="171">
        <v>64</v>
      </c>
      <c r="E48" s="205" t="s">
        <v>1074</v>
      </c>
      <c r="F48" s="205" t="s">
        <v>1074</v>
      </c>
      <c r="G48" s="205" t="s">
        <v>1074</v>
      </c>
      <c r="H48" s="205" t="s">
        <v>1074</v>
      </c>
    </row>
    <row r="49" spans="1:8" ht="14.25" customHeight="1">
      <c r="A49" s="598" t="s">
        <v>104</v>
      </c>
      <c r="B49" s="78" t="s">
        <v>285</v>
      </c>
      <c r="C49" s="171">
        <v>2466</v>
      </c>
      <c r="D49" s="171">
        <v>442</v>
      </c>
      <c r="E49" s="171">
        <v>487</v>
      </c>
      <c r="F49" s="171">
        <v>261</v>
      </c>
      <c r="G49" s="171">
        <v>25</v>
      </c>
      <c r="H49" s="205" t="s">
        <v>1074</v>
      </c>
    </row>
    <row r="50" spans="1:8" ht="14.25" customHeight="1">
      <c r="A50" s="598"/>
      <c r="B50" s="78" t="s">
        <v>286</v>
      </c>
      <c r="C50" s="171">
        <v>2589</v>
      </c>
      <c r="D50" s="171">
        <v>380</v>
      </c>
      <c r="E50" s="171">
        <v>561</v>
      </c>
      <c r="F50" s="171">
        <v>386</v>
      </c>
      <c r="G50" s="171">
        <v>63</v>
      </c>
      <c r="H50" s="205" t="s">
        <v>1074</v>
      </c>
    </row>
    <row r="51" spans="1:8" ht="14.25" customHeight="1">
      <c r="A51" s="598" t="s">
        <v>16</v>
      </c>
      <c r="B51" s="78" t="s">
        <v>285</v>
      </c>
      <c r="C51" s="171">
        <v>3837</v>
      </c>
      <c r="D51" s="171">
        <v>257</v>
      </c>
      <c r="E51" s="171">
        <v>582</v>
      </c>
      <c r="F51" s="171">
        <v>1360</v>
      </c>
      <c r="G51" s="171">
        <v>1006</v>
      </c>
      <c r="H51" s="171">
        <v>246</v>
      </c>
    </row>
    <row r="52" spans="1:8" ht="14.25" customHeight="1">
      <c r="A52" s="598"/>
      <c r="B52" s="78" t="s">
        <v>286</v>
      </c>
      <c r="C52" s="171">
        <v>4687</v>
      </c>
      <c r="D52" s="171">
        <v>204</v>
      </c>
      <c r="E52" s="171">
        <v>464</v>
      </c>
      <c r="F52" s="171">
        <v>1183</v>
      </c>
      <c r="G52" s="171">
        <v>1817</v>
      </c>
      <c r="H52" s="171">
        <v>678</v>
      </c>
    </row>
    <row r="53" spans="1:8" ht="14.25" customHeight="1">
      <c r="A53" s="598" t="s">
        <v>106</v>
      </c>
      <c r="B53" s="78" t="s">
        <v>285</v>
      </c>
      <c r="C53" s="171">
        <v>3390</v>
      </c>
      <c r="D53" s="171">
        <v>469</v>
      </c>
      <c r="E53" s="171">
        <v>490</v>
      </c>
      <c r="F53" s="171">
        <v>770</v>
      </c>
      <c r="G53" s="171">
        <v>1136</v>
      </c>
      <c r="H53" s="171">
        <v>177</v>
      </c>
    </row>
    <row r="54" spans="1:8" ht="14.25" customHeight="1">
      <c r="A54" s="598"/>
      <c r="B54" s="78" t="s">
        <v>286</v>
      </c>
      <c r="C54" s="171">
        <v>3390</v>
      </c>
      <c r="D54" s="171">
        <v>469</v>
      </c>
      <c r="E54" s="171">
        <v>490</v>
      </c>
      <c r="F54" s="171">
        <v>770</v>
      </c>
      <c r="G54" s="171">
        <v>1136</v>
      </c>
      <c r="H54" s="171">
        <v>177</v>
      </c>
    </row>
    <row r="55" spans="1:8" ht="14.25" customHeight="1">
      <c r="A55" s="598" t="s">
        <v>1118</v>
      </c>
      <c r="B55" s="78" t="s">
        <v>285</v>
      </c>
      <c r="C55" s="171">
        <v>22690</v>
      </c>
      <c r="D55" s="171">
        <v>200</v>
      </c>
      <c r="E55" s="171">
        <v>350</v>
      </c>
      <c r="F55" s="171">
        <v>530</v>
      </c>
      <c r="G55" s="171">
        <v>1250</v>
      </c>
      <c r="H55" s="171">
        <v>20200</v>
      </c>
    </row>
    <row r="56" spans="1:8" ht="14.25" customHeight="1">
      <c r="A56" s="598"/>
      <c r="B56" s="78" t="s">
        <v>286</v>
      </c>
      <c r="C56" s="171">
        <v>1204</v>
      </c>
      <c r="D56" s="171">
        <v>30</v>
      </c>
      <c r="E56" s="171">
        <v>50</v>
      </c>
      <c r="F56" s="171">
        <v>140</v>
      </c>
      <c r="G56" s="171">
        <v>350</v>
      </c>
      <c r="H56" s="171">
        <v>600</v>
      </c>
    </row>
    <row r="57" spans="1:8" ht="14.25" customHeight="1">
      <c r="A57" s="598" t="s">
        <v>110</v>
      </c>
      <c r="B57" s="78" t="s">
        <v>285</v>
      </c>
      <c r="C57" s="171">
        <v>7418</v>
      </c>
      <c r="D57" s="171">
        <v>1372</v>
      </c>
      <c r="E57" s="171">
        <v>1730</v>
      </c>
      <c r="F57" s="171">
        <v>576</v>
      </c>
      <c r="G57" s="171">
        <v>545</v>
      </c>
      <c r="H57" s="171">
        <v>365</v>
      </c>
    </row>
    <row r="58" spans="1:8" ht="14.25" customHeight="1">
      <c r="A58" s="598"/>
      <c r="B58" s="78" t="s">
        <v>286</v>
      </c>
      <c r="C58" s="171">
        <v>7565</v>
      </c>
      <c r="D58" s="171">
        <v>1387</v>
      </c>
      <c r="E58" s="171">
        <v>1727</v>
      </c>
      <c r="F58" s="171">
        <v>613</v>
      </c>
      <c r="G58" s="171">
        <v>573</v>
      </c>
      <c r="H58" s="171">
        <v>414</v>
      </c>
    </row>
    <row r="59" spans="1:8" ht="14.25" customHeight="1">
      <c r="A59" s="598" t="s">
        <v>111</v>
      </c>
      <c r="B59" s="78" t="s">
        <v>285</v>
      </c>
      <c r="C59" s="171">
        <v>2740</v>
      </c>
      <c r="D59" s="171">
        <v>215</v>
      </c>
      <c r="E59" s="171">
        <v>379</v>
      </c>
      <c r="F59" s="171">
        <v>481</v>
      </c>
      <c r="G59" s="171">
        <v>756</v>
      </c>
      <c r="H59" s="171">
        <v>647</v>
      </c>
    </row>
    <row r="60" spans="1:8" ht="14.25" customHeight="1">
      <c r="A60" s="598"/>
      <c r="B60" s="78" t="s">
        <v>286</v>
      </c>
      <c r="C60" s="171">
        <v>3824</v>
      </c>
      <c r="D60" s="171">
        <v>243</v>
      </c>
      <c r="E60" s="171">
        <v>353</v>
      </c>
      <c r="F60" s="171">
        <v>492</v>
      </c>
      <c r="G60" s="171">
        <v>782</v>
      </c>
      <c r="H60" s="171">
        <v>1705</v>
      </c>
    </row>
    <row r="61" spans="1:8" ht="14.25" customHeight="1">
      <c r="A61" s="598" t="s">
        <v>117</v>
      </c>
      <c r="B61" s="78" t="s">
        <v>285</v>
      </c>
      <c r="C61" s="171">
        <v>1133</v>
      </c>
      <c r="D61" s="205" t="s">
        <v>1074</v>
      </c>
      <c r="E61" s="171">
        <v>364</v>
      </c>
      <c r="F61" s="171">
        <v>339</v>
      </c>
      <c r="G61" s="171">
        <v>79</v>
      </c>
      <c r="H61" s="171">
        <v>165</v>
      </c>
    </row>
    <row r="62" spans="1:8" ht="14.25" customHeight="1">
      <c r="A62" s="598"/>
      <c r="B62" s="78" t="s">
        <v>286</v>
      </c>
      <c r="C62" s="171">
        <v>1147</v>
      </c>
      <c r="D62" s="205" t="s">
        <v>1074</v>
      </c>
      <c r="E62" s="171">
        <v>163</v>
      </c>
      <c r="F62" s="171">
        <v>286</v>
      </c>
      <c r="G62" s="171">
        <v>234</v>
      </c>
      <c r="H62" s="171">
        <v>310</v>
      </c>
    </row>
    <row r="63" spans="1:8" ht="14.25" customHeight="1">
      <c r="A63" s="598" t="s">
        <v>18</v>
      </c>
      <c r="B63" s="78" t="s">
        <v>285</v>
      </c>
      <c r="C63" s="171">
        <v>20059</v>
      </c>
      <c r="D63" s="171">
        <v>1198</v>
      </c>
      <c r="E63" s="171">
        <v>2345</v>
      </c>
      <c r="F63" s="171">
        <v>4745</v>
      </c>
      <c r="G63" s="171">
        <v>6438</v>
      </c>
      <c r="H63" s="171">
        <v>3059</v>
      </c>
    </row>
    <row r="64" spans="1:8" ht="14.25" customHeight="1">
      <c r="A64" s="598"/>
      <c r="B64" s="78" t="s">
        <v>286</v>
      </c>
      <c r="C64" s="171">
        <v>22270</v>
      </c>
      <c r="D64" s="171">
        <v>1355</v>
      </c>
      <c r="E64" s="171">
        <v>2843</v>
      </c>
      <c r="F64" s="171">
        <v>6017</v>
      </c>
      <c r="G64" s="171">
        <v>6371</v>
      </c>
      <c r="H64" s="171">
        <v>3412</v>
      </c>
    </row>
    <row r="65" spans="1:9" ht="14.25" customHeight="1">
      <c r="A65" s="602" t="s">
        <v>306</v>
      </c>
      <c r="B65" s="78" t="s">
        <v>285</v>
      </c>
      <c r="C65" s="171">
        <v>2319</v>
      </c>
      <c r="D65" s="205" t="s">
        <v>1074</v>
      </c>
      <c r="E65" s="171">
        <v>527</v>
      </c>
      <c r="F65" s="171">
        <v>460</v>
      </c>
      <c r="G65" s="171">
        <v>375</v>
      </c>
      <c r="H65" s="171">
        <v>215</v>
      </c>
    </row>
    <row r="66" spans="1:9" ht="14.25" customHeight="1">
      <c r="A66" s="600"/>
      <c r="B66" s="78" t="s">
        <v>286</v>
      </c>
      <c r="C66" s="171">
        <v>2651</v>
      </c>
      <c r="D66" s="205" t="s">
        <v>1074</v>
      </c>
      <c r="E66" s="171">
        <v>645</v>
      </c>
      <c r="F66" s="171">
        <v>531</v>
      </c>
      <c r="G66" s="171">
        <v>403</v>
      </c>
      <c r="H66" s="171">
        <v>252</v>
      </c>
    </row>
    <row r="67" spans="1:9" ht="14.25" customHeight="1">
      <c r="A67" s="594" t="s">
        <v>1010</v>
      </c>
      <c r="B67" s="78" t="s">
        <v>285</v>
      </c>
      <c r="C67" s="171">
        <v>182</v>
      </c>
      <c r="D67" s="171">
        <v>53</v>
      </c>
      <c r="E67" s="205" t="s">
        <v>1074</v>
      </c>
      <c r="F67" s="205" t="s">
        <v>1074</v>
      </c>
      <c r="G67" s="205" t="s">
        <v>1074</v>
      </c>
      <c r="H67" s="205" t="s">
        <v>1074</v>
      </c>
    </row>
    <row r="68" spans="1:9" ht="14.25" customHeight="1">
      <c r="A68" s="594"/>
      <c r="B68" s="78" t="s">
        <v>286</v>
      </c>
      <c r="C68" s="171">
        <v>200</v>
      </c>
      <c r="D68" s="171">
        <v>76</v>
      </c>
      <c r="E68" s="205" t="s">
        <v>1074</v>
      </c>
      <c r="F68" s="205" t="s">
        <v>1074</v>
      </c>
      <c r="G68" s="205" t="s">
        <v>1074</v>
      </c>
      <c r="H68" s="205" t="s">
        <v>1074</v>
      </c>
    </row>
    <row r="69" spans="1:9" ht="14.25" customHeight="1">
      <c r="A69" s="598" t="s">
        <v>19</v>
      </c>
      <c r="B69" s="78" t="s">
        <v>285</v>
      </c>
      <c r="C69" s="171">
        <v>22358</v>
      </c>
      <c r="D69" s="171">
        <v>807</v>
      </c>
      <c r="E69" s="171">
        <v>1399</v>
      </c>
      <c r="F69" s="171">
        <v>2626</v>
      </c>
      <c r="G69" s="171">
        <v>5520</v>
      </c>
      <c r="H69" s="171">
        <v>10373</v>
      </c>
      <c r="I69" s="41"/>
    </row>
    <row r="70" spans="1:9" ht="14.25" customHeight="1">
      <c r="A70" s="598"/>
      <c r="B70" s="78" t="s">
        <v>286</v>
      </c>
      <c r="C70" s="171">
        <v>23685</v>
      </c>
      <c r="D70" s="171">
        <v>801</v>
      </c>
      <c r="E70" s="171">
        <v>1514</v>
      </c>
      <c r="F70" s="171">
        <v>2795</v>
      </c>
      <c r="G70" s="171">
        <v>6101</v>
      </c>
      <c r="H70" s="171">
        <v>10741</v>
      </c>
      <c r="I70" s="41"/>
    </row>
    <row r="71" spans="1:9" ht="14.25" customHeight="1">
      <c r="A71" s="598" t="s">
        <v>119</v>
      </c>
      <c r="B71" s="78" t="s">
        <v>285</v>
      </c>
      <c r="C71" s="171">
        <v>1130</v>
      </c>
      <c r="D71" s="171">
        <v>147</v>
      </c>
      <c r="E71" s="171">
        <v>161</v>
      </c>
      <c r="F71" s="171">
        <v>278</v>
      </c>
      <c r="G71" s="171">
        <v>41</v>
      </c>
      <c r="H71" s="205" t="s">
        <v>1074</v>
      </c>
    </row>
    <row r="72" spans="1:9" ht="14.25" customHeight="1">
      <c r="A72" s="598"/>
      <c r="B72" s="78" t="s">
        <v>286</v>
      </c>
      <c r="C72" s="171">
        <v>1147</v>
      </c>
      <c r="D72" s="171">
        <v>121</v>
      </c>
      <c r="E72" s="171">
        <v>173</v>
      </c>
      <c r="F72" s="171">
        <v>203</v>
      </c>
      <c r="G72" s="171">
        <v>165</v>
      </c>
      <c r="H72" s="205" t="s">
        <v>1074</v>
      </c>
    </row>
    <row r="73" spans="1:9" ht="14.25" customHeight="1">
      <c r="A73" s="598" t="s">
        <v>120</v>
      </c>
      <c r="B73" s="78" t="s">
        <v>285</v>
      </c>
      <c r="C73" s="171">
        <v>1189</v>
      </c>
      <c r="D73" s="205" t="s">
        <v>1074</v>
      </c>
      <c r="E73" s="171">
        <v>70</v>
      </c>
      <c r="F73" s="171">
        <v>61</v>
      </c>
      <c r="G73" s="171">
        <v>330</v>
      </c>
      <c r="H73" s="171">
        <v>677</v>
      </c>
    </row>
    <row r="74" spans="1:9" ht="14.25" customHeight="1">
      <c r="A74" s="598"/>
      <c r="B74" s="78" t="s">
        <v>286</v>
      </c>
      <c r="C74" s="171">
        <v>1346</v>
      </c>
      <c r="D74" s="205" t="s">
        <v>1074</v>
      </c>
      <c r="E74" s="171">
        <v>84</v>
      </c>
      <c r="F74" s="171">
        <v>101</v>
      </c>
      <c r="G74" s="171">
        <v>393</v>
      </c>
      <c r="H74" s="171">
        <v>716</v>
      </c>
    </row>
    <row r="75" spans="1:9">
      <c r="A75" s="598" t="s">
        <v>307</v>
      </c>
      <c r="B75" s="78" t="s">
        <v>285</v>
      </c>
      <c r="C75" s="171">
        <v>1329</v>
      </c>
      <c r="D75" s="171">
        <v>68</v>
      </c>
      <c r="E75" s="171">
        <v>78</v>
      </c>
      <c r="F75" s="171">
        <v>129</v>
      </c>
      <c r="G75" s="171">
        <v>237</v>
      </c>
      <c r="H75" s="171">
        <v>779</v>
      </c>
    </row>
    <row r="76" spans="1:9" ht="14.25" customHeight="1">
      <c r="A76" s="598"/>
      <c r="B76" s="78" t="s">
        <v>286</v>
      </c>
      <c r="C76" s="171">
        <v>1416</v>
      </c>
      <c r="D76" s="171">
        <v>104</v>
      </c>
      <c r="E76" s="171">
        <v>105</v>
      </c>
      <c r="F76" s="171">
        <v>146</v>
      </c>
      <c r="G76" s="171">
        <v>256</v>
      </c>
      <c r="H76" s="171">
        <v>768</v>
      </c>
    </row>
    <row r="77" spans="1:9" ht="14.25" customHeight="1">
      <c r="A77" s="598" t="s">
        <v>123</v>
      </c>
      <c r="B77" s="78" t="s">
        <v>285</v>
      </c>
      <c r="C77" s="171">
        <v>286</v>
      </c>
      <c r="D77" s="171" t="s">
        <v>1074</v>
      </c>
      <c r="E77" s="171">
        <v>51</v>
      </c>
      <c r="F77" s="171">
        <v>61</v>
      </c>
      <c r="G77" s="171" t="s">
        <v>1074</v>
      </c>
      <c r="H77" s="171">
        <v>72</v>
      </c>
    </row>
    <row r="78" spans="1:9" ht="14.25" customHeight="1">
      <c r="A78" s="598"/>
      <c r="B78" s="78" t="s">
        <v>286</v>
      </c>
      <c r="C78" s="171">
        <v>747</v>
      </c>
      <c r="D78" s="171">
        <v>41</v>
      </c>
      <c r="E78" s="171">
        <v>128</v>
      </c>
      <c r="F78" s="171">
        <v>125</v>
      </c>
      <c r="G78" s="171" t="s">
        <v>1074</v>
      </c>
      <c r="H78" s="171">
        <v>216</v>
      </c>
    </row>
    <row r="79" spans="1:9" ht="14.25" customHeight="1">
      <c r="A79" s="598" t="s">
        <v>124</v>
      </c>
      <c r="B79" s="78" t="s">
        <v>285</v>
      </c>
      <c r="C79" s="171">
        <v>1792</v>
      </c>
      <c r="D79" s="171">
        <v>49</v>
      </c>
      <c r="E79" s="171">
        <v>202</v>
      </c>
      <c r="F79" s="171">
        <v>272</v>
      </c>
      <c r="G79" s="171">
        <v>374</v>
      </c>
      <c r="H79" s="171">
        <v>747</v>
      </c>
    </row>
    <row r="80" spans="1:9" ht="14.25" customHeight="1">
      <c r="A80" s="598"/>
      <c r="B80" s="78" t="s">
        <v>286</v>
      </c>
      <c r="C80" s="171">
        <v>1404</v>
      </c>
      <c r="D80" s="171">
        <v>25</v>
      </c>
      <c r="E80" s="171">
        <v>124</v>
      </c>
      <c r="F80" s="171">
        <v>215</v>
      </c>
      <c r="G80" s="171">
        <v>335</v>
      </c>
      <c r="H80" s="171">
        <v>593</v>
      </c>
    </row>
    <row r="81" spans="1:8" ht="14.25" customHeight="1">
      <c r="A81" s="598" t="s">
        <v>128</v>
      </c>
      <c r="B81" s="78" t="s">
        <v>285</v>
      </c>
      <c r="C81" s="171">
        <v>1971</v>
      </c>
      <c r="D81" s="171">
        <v>72</v>
      </c>
      <c r="E81" s="171">
        <v>101</v>
      </c>
      <c r="F81" s="171">
        <v>184</v>
      </c>
      <c r="G81" s="171">
        <v>235</v>
      </c>
      <c r="H81" s="171">
        <v>409</v>
      </c>
    </row>
    <row r="82" spans="1:8" ht="14.25" customHeight="1">
      <c r="A82" s="598"/>
      <c r="B82" s="78" t="s">
        <v>286</v>
      </c>
      <c r="C82" s="171">
        <v>1983</v>
      </c>
      <c r="D82" s="171">
        <v>80</v>
      </c>
      <c r="E82" s="171">
        <v>145</v>
      </c>
      <c r="F82" s="171">
        <v>182</v>
      </c>
      <c r="G82" s="171">
        <v>426</v>
      </c>
      <c r="H82" s="171">
        <v>112</v>
      </c>
    </row>
    <row r="83" spans="1:8" ht="14.25" customHeight="1">
      <c r="A83" s="603" t="s">
        <v>308</v>
      </c>
      <c r="B83" s="78" t="s">
        <v>285</v>
      </c>
      <c r="C83" s="171">
        <v>767</v>
      </c>
      <c r="D83" s="171">
        <v>43</v>
      </c>
      <c r="E83" s="171">
        <v>54</v>
      </c>
      <c r="F83" s="171" t="s">
        <v>1074</v>
      </c>
      <c r="G83" s="171" t="s">
        <v>1074</v>
      </c>
      <c r="H83" s="171" t="s">
        <v>1074</v>
      </c>
    </row>
    <row r="84" spans="1:8" ht="14.25" customHeight="1">
      <c r="A84" s="603"/>
      <c r="B84" s="78" t="s">
        <v>286</v>
      </c>
      <c r="C84" s="171">
        <v>819</v>
      </c>
      <c r="D84" s="171">
        <v>45</v>
      </c>
      <c r="E84" s="171">
        <v>52</v>
      </c>
      <c r="F84" s="171" t="s">
        <v>1074</v>
      </c>
      <c r="G84" s="171" t="s">
        <v>1074</v>
      </c>
      <c r="H84" s="171" t="s">
        <v>1074</v>
      </c>
    </row>
    <row r="85" spans="1:8" ht="14.25" customHeight="1">
      <c r="A85" s="598" t="s">
        <v>130</v>
      </c>
      <c r="B85" s="78" t="s">
        <v>285</v>
      </c>
      <c r="C85" s="171">
        <v>1037</v>
      </c>
      <c r="D85" s="171">
        <v>17</v>
      </c>
      <c r="E85" s="171">
        <v>14</v>
      </c>
      <c r="F85" s="171">
        <v>411</v>
      </c>
      <c r="G85" s="171">
        <v>583</v>
      </c>
      <c r="H85" s="171" t="s">
        <v>1074</v>
      </c>
    </row>
    <row r="86" spans="1:8" ht="13.75" customHeight="1">
      <c r="A86" s="598"/>
      <c r="B86" s="78" t="s">
        <v>286</v>
      </c>
      <c r="C86" s="171">
        <v>1050</v>
      </c>
      <c r="D86" s="171">
        <v>13</v>
      </c>
      <c r="E86" s="171">
        <v>40</v>
      </c>
      <c r="F86" s="171">
        <v>465</v>
      </c>
      <c r="G86" s="171">
        <v>522</v>
      </c>
      <c r="H86" s="171" t="s">
        <v>1074</v>
      </c>
    </row>
    <row r="87" spans="1:8" ht="13.75" customHeight="1">
      <c r="A87" s="598" t="s">
        <v>249</v>
      </c>
      <c r="B87" s="78" t="s">
        <v>285</v>
      </c>
      <c r="C87" s="171">
        <v>386102</v>
      </c>
      <c r="D87" s="171">
        <v>16061</v>
      </c>
      <c r="E87" s="171">
        <v>21464</v>
      </c>
      <c r="F87" s="171">
        <v>31482</v>
      </c>
      <c r="G87" s="171">
        <v>42352</v>
      </c>
      <c r="H87" s="171">
        <v>172241</v>
      </c>
    </row>
    <row r="88" spans="1:8">
      <c r="A88" s="598"/>
      <c r="B88" s="78" t="s">
        <v>286</v>
      </c>
      <c r="C88" s="171">
        <v>418414</v>
      </c>
      <c r="D88" s="171">
        <v>16507</v>
      </c>
      <c r="E88" s="171">
        <v>22933</v>
      </c>
      <c r="F88" s="171">
        <v>35017</v>
      </c>
      <c r="G88" s="171">
        <v>49504</v>
      </c>
      <c r="H88" s="171">
        <v>190089</v>
      </c>
    </row>
    <row r="89" spans="1:8" ht="14.25" customHeight="1">
      <c r="A89" s="598" t="s">
        <v>21</v>
      </c>
      <c r="B89" s="78" t="s">
        <v>285</v>
      </c>
      <c r="C89" s="171">
        <v>17857</v>
      </c>
      <c r="D89" s="171">
        <v>771</v>
      </c>
      <c r="E89" s="171">
        <v>1529</v>
      </c>
      <c r="F89" s="171">
        <v>2526</v>
      </c>
      <c r="G89" s="171">
        <v>4187</v>
      </c>
      <c r="H89" s="171">
        <v>6298</v>
      </c>
    </row>
    <row r="90" spans="1:8" ht="14.25" customHeight="1">
      <c r="A90" s="598"/>
      <c r="B90" s="78" t="s">
        <v>286</v>
      </c>
      <c r="C90" s="171">
        <v>19707</v>
      </c>
      <c r="D90" s="171">
        <v>930</v>
      </c>
      <c r="E90" s="171">
        <v>1588</v>
      </c>
      <c r="F90" s="171">
        <v>2240</v>
      </c>
      <c r="G90" s="171">
        <v>5717</v>
      </c>
      <c r="H90" s="171">
        <v>6034</v>
      </c>
    </row>
    <row r="91" spans="1:8" ht="14.25" customHeight="1">
      <c r="A91" s="598" t="s">
        <v>248</v>
      </c>
      <c r="B91" s="78" t="s">
        <v>285</v>
      </c>
      <c r="C91" s="171">
        <v>42515</v>
      </c>
      <c r="D91" s="171">
        <v>90</v>
      </c>
      <c r="E91" s="171">
        <v>4386</v>
      </c>
      <c r="F91" s="171">
        <v>6534</v>
      </c>
      <c r="G91" s="171">
        <v>10743</v>
      </c>
      <c r="H91" s="171">
        <v>15467</v>
      </c>
    </row>
    <row r="92" spans="1:8" ht="14.25" customHeight="1">
      <c r="A92" s="598"/>
      <c r="B92" s="78" t="s">
        <v>286</v>
      </c>
      <c r="C92" s="171">
        <v>50589</v>
      </c>
      <c r="D92" s="171">
        <v>93</v>
      </c>
      <c r="E92" s="171">
        <v>4549</v>
      </c>
      <c r="F92" s="171">
        <v>6961</v>
      </c>
      <c r="G92" s="171">
        <v>12930</v>
      </c>
      <c r="H92" s="171">
        <v>16571</v>
      </c>
    </row>
    <row r="93" spans="1:8" ht="14.25" customHeight="1">
      <c r="A93" s="598" t="s">
        <v>138</v>
      </c>
      <c r="B93" s="78" t="s">
        <v>285</v>
      </c>
      <c r="C93" s="171">
        <v>528</v>
      </c>
      <c r="D93" s="171" t="s">
        <v>1074</v>
      </c>
      <c r="E93" s="171">
        <v>67</v>
      </c>
      <c r="F93" s="171">
        <v>104</v>
      </c>
      <c r="G93" s="171">
        <v>187</v>
      </c>
      <c r="H93" s="171">
        <v>119</v>
      </c>
    </row>
    <row r="94" spans="1:8" ht="24" customHeight="1">
      <c r="A94" s="598"/>
      <c r="B94" s="78" t="s">
        <v>286</v>
      </c>
      <c r="C94" s="171">
        <v>529</v>
      </c>
      <c r="D94" s="171" t="s">
        <v>1074</v>
      </c>
      <c r="E94" s="171">
        <v>73</v>
      </c>
      <c r="F94" s="171">
        <v>80</v>
      </c>
      <c r="G94" s="171">
        <v>197</v>
      </c>
      <c r="H94" s="171">
        <v>128</v>
      </c>
    </row>
    <row r="95" spans="1:8" ht="14.25" customHeight="1">
      <c r="A95" s="601" t="s">
        <v>309</v>
      </c>
      <c r="B95" s="78" t="s">
        <v>285</v>
      </c>
      <c r="C95" s="171">
        <v>1142</v>
      </c>
      <c r="D95" s="171">
        <v>154</v>
      </c>
      <c r="E95" s="171">
        <v>239</v>
      </c>
      <c r="F95" s="171">
        <v>243</v>
      </c>
      <c r="G95" s="171">
        <v>363</v>
      </c>
      <c r="H95" s="171" t="s">
        <v>1074</v>
      </c>
    </row>
    <row r="96" spans="1:8" ht="14.25" customHeight="1">
      <c r="A96" s="598"/>
      <c r="B96" s="78" t="s">
        <v>286</v>
      </c>
      <c r="C96" s="171">
        <v>1215</v>
      </c>
      <c r="D96" s="171">
        <v>149</v>
      </c>
      <c r="E96" s="171">
        <v>241</v>
      </c>
      <c r="F96" s="171">
        <v>319</v>
      </c>
      <c r="G96" s="171">
        <v>360</v>
      </c>
      <c r="H96" s="171" t="s">
        <v>1074</v>
      </c>
    </row>
    <row r="97" spans="1:8" ht="14.25" customHeight="1">
      <c r="A97" s="598" t="s">
        <v>310</v>
      </c>
      <c r="B97" s="78" t="s">
        <v>285</v>
      </c>
      <c r="C97" s="171">
        <v>129</v>
      </c>
      <c r="D97" s="171">
        <v>7</v>
      </c>
      <c r="E97" s="171">
        <v>48</v>
      </c>
      <c r="F97" s="171" t="s">
        <v>1074</v>
      </c>
      <c r="G97" s="171" t="s">
        <v>1074</v>
      </c>
      <c r="H97" s="171" t="s">
        <v>1074</v>
      </c>
    </row>
    <row r="98" spans="1:8" ht="14.25" customHeight="1">
      <c r="A98" s="598"/>
      <c r="B98" s="78" t="s">
        <v>286</v>
      </c>
      <c r="C98" s="171">
        <v>141</v>
      </c>
      <c r="D98" s="171" t="s">
        <v>1074</v>
      </c>
      <c r="E98" s="171">
        <v>67</v>
      </c>
      <c r="F98" s="171" t="s">
        <v>1074</v>
      </c>
      <c r="G98" s="171" t="s">
        <v>1074</v>
      </c>
      <c r="H98" s="171" t="s">
        <v>1074</v>
      </c>
    </row>
    <row r="99" spans="1:8" ht="14.25" customHeight="1">
      <c r="A99" s="598" t="s">
        <v>143</v>
      </c>
      <c r="B99" s="78" t="s">
        <v>285</v>
      </c>
      <c r="C99" s="171">
        <v>6693</v>
      </c>
      <c r="D99" s="171">
        <v>867</v>
      </c>
      <c r="E99" s="171">
        <v>1024</v>
      </c>
      <c r="F99" s="171">
        <v>933</v>
      </c>
      <c r="G99" s="171">
        <v>801</v>
      </c>
      <c r="H99" s="171" t="s">
        <v>1074</v>
      </c>
    </row>
    <row r="100" spans="1:8" ht="14.25" customHeight="1">
      <c r="A100" s="598"/>
      <c r="B100" s="78" t="s">
        <v>286</v>
      </c>
      <c r="C100" s="171">
        <v>4261</v>
      </c>
      <c r="D100" s="171">
        <v>281</v>
      </c>
      <c r="E100" s="171">
        <v>566</v>
      </c>
      <c r="F100" s="171">
        <v>363</v>
      </c>
      <c r="G100" s="171">
        <v>463</v>
      </c>
      <c r="H100" s="171" t="s">
        <v>1074</v>
      </c>
    </row>
    <row r="101" spans="1:8" ht="14.25" customHeight="1">
      <c r="A101" s="594" t="s">
        <v>315</v>
      </c>
      <c r="B101" s="78" t="s">
        <v>285</v>
      </c>
      <c r="C101" s="171">
        <v>132</v>
      </c>
      <c r="D101" s="171">
        <v>13</v>
      </c>
      <c r="E101" s="171" t="s">
        <v>1074</v>
      </c>
      <c r="F101" s="171" t="s">
        <v>1074</v>
      </c>
      <c r="G101" s="171" t="s">
        <v>1074</v>
      </c>
      <c r="H101" s="171" t="s">
        <v>1074</v>
      </c>
    </row>
    <row r="102" spans="1:8" ht="14.25" customHeight="1">
      <c r="A102" s="594"/>
      <c r="B102" s="78" t="s">
        <v>286</v>
      </c>
      <c r="C102" s="171">
        <v>127</v>
      </c>
      <c r="D102" s="171">
        <v>13</v>
      </c>
      <c r="E102" s="171" t="s">
        <v>1074</v>
      </c>
      <c r="F102" s="171" t="s">
        <v>1074</v>
      </c>
      <c r="G102" s="171" t="s">
        <v>1074</v>
      </c>
      <c r="H102" s="171" t="s">
        <v>1074</v>
      </c>
    </row>
    <row r="103" spans="1:8" ht="14.25" customHeight="1">
      <c r="A103" s="598" t="s">
        <v>311</v>
      </c>
      <c r="B103" s="78" t="s">
        <v>285</v>
      </c>
      <c r="C103" s="171">
        <v>264</v>
      </c>
      <c r="D103" s="171">
        <v>14</v>
      </c>
      <c r="E103" s="171">
        <v>31</v>
      </c>
      <c r="F103" s="171" t="s">
        <v>1074</v>
      </c>
      <c r="G103" s="171" t="s">
        <v>1074</v>
      </c>
      <c r="H103" s="171" t="s">
        <v>1074</v>
      </c>
    </row>
    <row r="104" spans="1:8" ht="14.25" customHeight="1">
      <c r="A104" s="598"/>
      <c r="B104" s="78" t="s">
        <v>286</v>
      </c>
      <c r="C104" s="171">
        <v>249</v>
      </c>
      <c r="D104" s="171">
        <v>9</v>
      </c>
      <c r="E104" s="171">
        <v>7</v>
      </c>
      <c r="F104" s="171">
        <v>33</v>
      </c>
      <c r="G104" s="171" t="s">
        <v>1074</v>
      </c>
      <c r="H104" s="171" t="s">
        <v>1074</v>
      </c>
    </row>
    <row r="105" spans="1:8" ht="14.25" customHeight="1">
      <c r="A105" s="598" t="s">
        <v>144</v>
      </c>
      <c r="B105" s="78" t="s">
        <v>285</v>
      </c>
      <c r="C105" s="171">
        <v>212</v>
      </c>
      <c r="D105" s="171" t="s">
        <v>1074</v>
      </c>
      <c r="E105" s="171">
        <v>48</v>
      </c>
      <c r="F105" s="171">
        <v>54</v>
      </c>
      <c r="G105" s="171">
        <v>53</v>
      </c>
      <c r="H105" s="171">
        <v>17</v>
      </c>
    </row>
    <row r="106" spans="1:8" ht="14.25" customHeight="1">
      <c r="A106" s="598"/>
      <c r="B106" s="78" t="s">
        <v>286</v>
      </c>
      <c r="C106" s="171">
        <v>220</v>
      </c>
      <c r="D106" s="171" t="s">
        <v>1074</v>
      </c>
      <c r="E106" s="171">
        <v>41</v>
      </c>
      <c r="F106" s="171">
        <v>54</v>
      </c>
      <c r="G106" s="171">
        <v>52</v>
      </c>
      <c r="H106" s="171">
        <v>28</v>
      </c>
    </row>
    <row r="107" spans="1:8" ht="14.25" customHeight="1">
      <c r="A107" s="598" t="s">
        <v>146</v>
      </c>
      <c r="B107" s="78" t="s">
        <v>285</v>
      </c>
      <c r="C107" s="171">
        <v>1138</v>
      </c>
      <c r="D107" s="171" t="s">
        <v>1074</v>
      </c>
      <c r="E107" s="171">
        <v>123</v>
      </c>
      <c r="F107" s="171">
        <v>29</v>
      </c>
      <c r="G107" s="171">
        <v>116</v>
      </c>
      <c r="H107" s="171" t="s">
        <v>1074</v>
      </c>
    </row>
    <row r="108" spans="1:8" ht="14.25" customHeight="1">
      <c r="A108" s="598"/>
      <c r="B108" s="78" t="s">
        <v>286</v>
      </c>
      <c r="C108" s="171">
        <v>1184</v>
      </c>
      <c r="D108" s="171" t="s">
        <v>1074</v>
      </c>
      <c r="E108" s="171">
        <v>132</v>
      </c>
      <c r="F108" s="171">
        <v>41</v>
      </c>
      <c r="G108" s="171">
        <v>122</v>
      </c>
      <c r="H108" s="171" t="s">
        <v>1074</v>
      </c>
    </row>
    <row r="109" spans="1:8" ht="14.25" customHeight="1">
      <c r="A109" s="604" t="s">
        <v>312</v>
      </c>
      <c r="B109" s="78" t="s">
        <v>285</v>
      </c>
      <c r="C109" s="171">
        <v>307</v>
      </c>
      <c r="D109" s="171">
        <v>19</v>
      </c>
      <c r="E109" s="171">
        <v>42</v>
      </c>
      <c r="F109" s="171" t="s">
        <v>1074</v>
      </c>
      <c r="G109" s="171">
        <v>53</v>
      </c>
      <c r="H109" s="171">
        <v>26</v>
      </c>
    </row>
    <row r="110" spans="1:8" ht="21.65" customHeight="1">
      <c r="A110" s="604"/>
      <c r="B110" s="78" t="s">
        <v>286</v>
      </c>
      <c r="C110" s="171">
        <v>352</v>
      </c>
      <c r="D110" s="171">
        <v>21</v>
      </c>
      <c r="E110" s="171">
        <v>40</v>
      </c>
      <c r="F110" s="171" t="s">
        <v>1074</v>
      </c>
      <c r="G110" s="171">
        <v>55</v>
      </c>
      <c r="H110" s="171">
        <v>46</v>
      </c>
    </row>
    <row r="111" spans="1:8" ht="14.25" customHeight="1">
      <c r="A111" s="604" t="s">
        <v>151</v>
      </c>
      <c r="B111" s="78" t="s">
        <v>285</v>
      </c>
      <c r="C111" s="171">
        <v>3186</v>
      </c>
      <c r="D111" s="171" t="s">
        <v>1074</v>
      </c>
      <c r="E111" s="171">
        <v>792</v>
      </c>
      <c r="F111" s="171" t="s">
        <v>1074</v>
      </c>
      <c r="G111" s="171">
        <v>102</v>
      </c>
      <c r="H111" s="171" t="s">
        <v>1074</v>
      </c>
    </row>
    <row r="112" spans="1:8" ht="14.25" customHeight="1">
      <c r="A112" s="604"/>
      <c r="B112" s="78" t="s">
        <v>286</v>
      </c>
      <c r="C112" s="171">
        <v>3713</v>
      </c>
      <c r="D112" s="171">
        <v>12</v>
      </c>
      <c r="E112" s="171">
        <v>1051</v>
      </c>
      <c r="F112" s="171">
        <v>57</v>
      </c>
      <c r="G112" s="171">
        <v>116</v>
      </c>
      <c r="H112" s="171" t="s">
        <v>1074</v>
      </c>
    </row>
    <row r="113" spans="1:8" ht="14.25" customHeight="1">
      <c r="A113" s="598" t="s">
        <v>152</v>
      </c>
      <c r="B113" s="78" t="s">
        <v>285</v>
      </c>
      <c r="C113" s="171">
        <v>40512</v>
      </c>
      <c r="D113" s="171">
        <v>3962</v>
      </c>
      <c r="E113" s="171">
        <v>4185</v>
      </c>
      <c r="F113" s="171">
        <v>11164</v>
      </c>
      <c r="G113" s="171">
        <v>9871</v>
      </c>
      <c r="H113" s="171">
        <v>9447</v>
      </c>
    </row>
    <row r="114" spans="1:8" ht="14.25" customHeight="1">
      <c r="A114" s="598"/>
      <c r="B114" s="78" t="s">
        <v>286</v>
      </c>
      <c r="C114" s="171">
        <v>38897</v>
      </c>
      <c r="D114" s="171">
        <v>4742</v>
      </c>
      <c r="E114" s="171">
        <v>4386</v>
      </c>
      <c r="F114" s="171">
        <v>11143</v>
      </c>
      <c r="G114" s="171">
        <v>9140</v>
      </c>
      <c r="H114" s="171">
        <v>7678</v>
      </c>
    </row>
    <row r="115" spans="1:8" ht="14.25" customHeight="1">
      <c r="A115" s="598" t="s">
        <v>157</v>
      </c>
      <c r="B115" s="78" t="s">
        <v>285</v>
      </c>
      <c r="C115" s="171">
        <v>452</v>
      </c>
      <c r="D115" s="171">
        <v>35</v>
      </c>
      <c r="E115" s="171">
        <v>155</v>
      </c>
      <c r="F115" s="171">
        <v>97</v>
      </c>
      <c r="G115" s="171">
        <v>85</v>
      </c>
      <c r="H115" s="171">
        <v>43</v>
      </c>
    </row>
    <row r="116" spans="1:8" ht="14.25" customHeight="1">
      <c r="A116" s="598"/>
      <c r="B116" s="78" t="s">
        <v>286</v>
      </c>
      <c r="C116" s="171">
        <v>470</v>
      </c>
      <c r="D116" s="171">
        <v>38</v>
      </c>
      <c r="E116" s="171">
        <v>160</v>
      </c>
      <c r="F116" s="171">
        <v>100</v>
      </c>
      <c r="G116" s="171">
        <v>90</v>
      </c>
      <c r="H116" s="171">
        <v>45</v>
      </c>
    </row>
    <row r="117" spans="1:8" ht="14.25" customHeight="1">
      <c r="A117" s="598" t="s">
        <v>1244</v>
      </c>
      <c r="B117" s="78" t="s">
        <v>285</v>
      </c>
      <c r="C117" s="171" t="s">
        <v>1237</v>
      </c>
      <c r="D117" s="171" t="s">
        <v>1237</v>
      </c>
      <c r="E117" s="171" t="s">
        <v>1237</v>
      </c>
      <c r="F117" s="171" t="s">
        <v>1237</v>
      </c>
      <c r="G117" s="171" t="s">
        <v>1237</v>
      </c>
      <c r="H117" s="171" t="s">
        <v>1237</v>
      </c>
    </row>
    <row r="118" spans="1:8" ht="14.25" customHeight="1">
      <c r="A118" s="598"/>
      <c r="B118" s="78" t="s">
        <v>286</v>
      </c>
      <c r="C118" s="171">
        <v>613</v>
      </c>
      <c r="D118" s="171">
        <v>66</v>
      </c>
      <c r="E118" s="171">
        <v>161</v>
      </c>
      <c r="F118" s="171">
        <v>142</v>
      </c>
      <c r="G118" s="171">
        <v>133</v>
      </c>
      <c r="H118" s="171">
        <v>72</v>
      </c>
    </row>
    <row r="119" spans="1:8" ht="14.25" customHeight="1">
      <c r="A119" s="598" t="s">
        <v>313</v>
      </c>
      <c r="B119" s="78" t="s">
        <v>285</v>
      </c>
      <c r="C119" s="51">
        <v>1676</v>
      </c>
      <c r="D119" s="171" t="s">
        <v>1074</v>
      </c>
      <c r="E119" s="51">
        <v>429</v>
      </c>
      <c r="F119" s="171" t="s">
        <v>1074</v>
      </c>
      <c r="G119" s="171" t="s">
        <v>1074</v>
      </c>
      <c r="H119" s="171" t="s">
        <v>1074</v>
      </c>
    </row>
    <row r="120" spans="1:8" ht="14.25" customHeight="1">
      <c r="A120" s="598"/>
      <c r="B120" s="78" t="s">
        <v>286</v>
      </c>
      <c r="C120" s="51">
        <v>1676</v>
      </c>
      <c r="D120" s="171" t="s">
        <v>1074</v>
      </c>
      <c r="E120" s="51">
        <v>429</v>
      </c>
      <c r="F120" s="171" t="s">
        <v>1074</v>
      </c>
      <c r="G120" s="171" t="s">
        <v>1074</v>
      </c>
      <c r="H120" s="171" t="s">
        <v>1074</v>
      </c>
    </row>
    <row r="121" spans="1:8" ht="14.25" customHeight="1">
      <c r="A121" s="594" t="s">
        <v>314</v>
      </c>
      <c r="B121" s="78" t="s">
        <v>285</v>
      </c>
      <c r="C121" s="171">
        <v>21736</v>
      </c>
      <c r="D121" s="171">
        <v>839</v>
      </c>
      <c r="E121" s="171">
        <v>648</v>
      </c>
      <c r="F121" s="171">
        <v>426</v>
      </c>
      <c r="G121" s="171">
        <v>215</v>
      </c>
      <c r="H121" s="171">
        <v>121</v>
      </c>
    </row>
    <row r="122" spans="1:8" ht="14.25" customHeight="1">
      <c r="A122" s="594"/>
      <c r="B122" s="78" t="s">
        <v>286</v>
      </c>
      <c r="C122" s="171">
        <v>2910</v>
      </c>
      <c r="D122" s="171">
        <v>69</v>
      </c>
      <c r="E122" s="171">
        <v>132</v>
      </c>
      <c r="F122" s="171">
        <v>113</v>
      </c>
      <c r="G122" s="171">
        <v>98</v>
      </c>
      <c r="H122" s="171">
        <v>39</v>
      </c>
    </row>
    <row r="123" spans="1:8" ht="14.25" customHeight="1">
      <c r="A123" s="598" t="s">
        <v>24</v>
      </c>
      <c r="B123" s="78" t="s">
        <v>285</v>
      </c>
      <c r="C123" s="171">
        <v>70868</v>
      </c>
      <c r="D123" s="171">
        <v>962</v>
      </c>
      <c r="E123" s="171">
        <v>845</v>
      </c>
      <c r="F123" s="171">
        <v>891</v>
      </c>
      <c r="G123" s="171">
        <v>770</v>
      </c>
      <c r="H123" s="171" t="s">
        <v>1074</v>
      </c>
    </row>
    <row r="124" spans="1:8" ht="14.25" customHeight="1">
      <c r="A124" s="598"/>
      <c r="B124" s="78" t="s">
        <v>286</v>
      </c>
      <c r="C124" s="171">
        <v>87721</v>
      </c>
      <c r="D124" s="171">
        <v>1170</v>
      </c>
      <c r="E124" s="171">
        <v>946</v>
      </c>
      <c r="F124" s="171">
        <v>1018</v>
      </c>
      <c r="G124" s="171">
        <v>803</v>
      </c>
      <c r="H124" s="171" t="s">
        <v>1074</v>
      </c>
    </row>
    <row r="125" spans="1:8" ht="14.25" customHeight="1">
      <c r="A125" s="598" t="s">
        <v>170</v>
      </c>
      <c r="B125" s="78" t="s">
        <v>285</v>
      </c>
      <c r="C125" s="171">
        <v>2165</v>
      </c>
      <c r="D125" s="171">
        <v>85</v>
      </c>
      <c r="E125" s="171">
        <v>295</v>
      </c>
      <c r="F125" s="171">
        <v>610</v>
      </c>
      <c r="G125" s="171">
        <v>630</v>
      </c>
      <c r="H125" s="171">
        <v>510</v>
      </c>
    </row>
    <row r="126" spans="1:8" ht="14.25" customHeight="1">
      <c r="A126" s="598"/>
      <c r="B126" s="78" t="s">
        <v>286</v>
      </c>
      <c r="C126" s="171">
        <v>2165</v>
      </c>
      <c r="D126" s="171">
        <v>85</v>
      </c>
      <c r="E126" s="171">
        <v>295</v>
      </c>
      <c r="F126" s="171">
        <v>610</v>
      </c>
      <c r="G126" s="171">
        <v>630</v>
      </c>
      <c r="H126" s="171">
        <v>510</v>
      </c>
    </row>
    <row r="127" spans="1:8" ht="14.25" customHeight="1">
      <c r="A127" s="598" t="s">
        <v>1243</v>
      </c>
      <c r="B127" s="78" t="s">
        <v>285</v>
      </c>
      <c r="C127" s="171" t="s">
        <v>1237</v>
      </c>
      <c r="D127" s="171" t="s">
        <v>1237</v>
      </c>
      <c r="E127" s="171" t="s">
        <v>1237</v>
      </c>
      <c r="F127" s="171" t="s">
        <v>1237</v>
      </c>
      <c r="G127" s="171" t="s">
        <v>1237</v>
      </c>
      <c r="H127" s="171" t="s">
        <v>1237</v>
      </c>
    </row>
    <row r="128" spans="1:8" ht="14.25" customHeight="1">
      <c r="A128" s="598"/>
      <c r="B128" s="78" t="s">
        <v>286</v>
      </c>
      <c r="C128" s="171">
        <v>103</v>
      </c>
      <c r="D128" s="171" t="s">
        <v>1074</v>
      </c>
      <c r="E128" s="171">
        <v>26</v>
      </c>
      <c r="F128" s="171" t="s">
        <v>1074</v>
      </c>
      <c r="G128" s="171" t="s">
        <v>1074</v>
      </c>
      <c r="H128" s="171" t="s">
        <v>1074</v>
      </c>
    </row>
    <row r="129" spans="1:8" ht="14.25" customHeight="1">
      <c r="A129" s="598" t="s">
        <v>171</v>
      </c>
      <c r="B129" s="78" t="s">
        <v>285</v>
      </c>
      <c r="C129" s="171">
        <v>26928</v>
      </c>
      <c r="D129" s="171">
        <v>1927</v>
      </c>
      <c r="E129" s="171">
        <v>5019</v>
      </c>
      <c r="F129" s="171">
        <v>5182</v>
      </c>
      <c r="G129" s="171">
        <v>2089</v>
      </c>
      <c r="H129" s="171">
        <v>1169</v>
      </c>
    </row>
    <row r="130" spans="1:8" ht="14.25" customHeight="1">
      <c r="A130" s="598"/>
      <c r="B130" s="78" t="s">
        <v>286</v>
      </c>
      <c r="C130" s="171">
        <v>29109</v>
      </c>
      <c r="D130" s="171">
        <v>2023</v>
      </c>
      <c r="E130" s="171">
        <v>5564</v>
      </c>
      <c r="F130" s="171">
        <v>5504</v>
      </c>
      <c r="G130" s="171">
        <v>2186</v>
      </c>
      <c r="H130" s="171">
        <v>1144</v>
      </c>
    </row>
    <row r="131" spans="1:8" ht="14.25" customHeight="1">
      <c r="A131" s="598" t="s">
        <v>172</v>
      </c>
      <c r="B131" s="78" t="s">
        <v>285</v>
      </c>
      <c r="C131" s="171">
        <v>3093</v>
      </c>
      <c r="D131" s="171">
        <v>132</v>
      </c>
      <c r="E131" s="171">
        <v>292</v>
      </c>
      <c r="F131" s="171">
        <v>607</v>
      </c>
      <c r="G131" s="171">
        <v>709</v>
      </c>
      <c r="H131" s="171">
        <v>1125</v>
      </c>
    </row>
    <row r="132" spans="1:8" ht="14.25" customHeight="1">
      <c r="A132" s="598"/>
      <c r="B132" s="78" t="s">
        <v>286</v>
      </c>
      <c r="C132" s="171">
        <v>3571</v>
      </c>
      <c r="D132" s="171">
        <v>110</v>
      </c>
      <c r="E132" s="171">
        <v>218</v>
      </c>
      <c r="F132" s="171">
        <v>483</v>
      </c>
      <c r="G132" s="171">
        <v>697</v>
      </c>
      <c r="H132" s="171">
        <v>1865</v>
      </c>
    </row>
    <row r="133" spans="1:8" ht="14.25" customHeight="1">
      <c r="A133" s="598" t="s">
        <v>1009</v>
      </c>
      <c r="B133" s="78" t="s">
        <v>285</v>
      </c>
      <c r="C133" s="171">
        <v>2060</v>
      </c>
      <c r="D133" s="171">
        <v>143</v>
      </c>
      <c r="E133" s="171">
        <v>329</v>
      </c>
      <c r="F133" s="171">
        <v>672</v>
      </c>
      <c r="G133" s="171">
        <v>696</v>
      </c>
      <c r="H133" s="171">
        <v>125</v>
      </c>
    </row>
    <row r="134" spans="1:8" ht="14.25" customHeight="1">
      <c r="A134" s="598"/>
      <c r="B134" s="78" t="s">
        <v>286</v>
      </c>
      <c r="C134" s="171">
        <v>2104</v>
      </c>
      <c r="D134" s="171">
        <v>132</v>
      </c>
      <c r="E134" s="171">
        <v>325</v>
      </c>
      <c r="F134" s="171">
        <v>665</v>
      </c>
      <c r="G134" s="171">
        <v>739</v>
      </c>
      <c r="H134" s="171">
        <v>129</v>
      </c>
    </row>
    <row r="135" spans="1:8" ht="14.25" customHeight="1">
      <c r="A135" s="600" t="s">
        <v>228</v>
      </c>
      <c r="B135" s="78" t="s">
        <v>285</v>
      </c>
      <c r="C135" s="171">
        <v>1699</v>
      </c>
      <c r="D135" s="171">
        <v>670</v>
      </c>
      <c r="E135" s="171">
        <v>319</v>
      </c>
      <c r="F135" s="171">
        <v>127</v>
      </c>
      <c r="G135" s="171">
        <v>22</v>
      </c>
      <c r="H135" s="171">
        <v>2</v>
      </c>
    </row>
    <row r="136" spans="1:8" ht="14.25" customHeight="1">
      <c r="A136" s="600"/>
      <c r="B136" s="78" t="s">
        <v>286</v>
      </c>
      <c r="C136" s="171">
        <v>1725</v>
      </c>
      <c r="D136" s="171">
        <v>535</v>
      </c>
      <c r="E136" s="171">
        <v>477</v>
      </c>
      <c r="F136" s="171">
        <v>352</v>
      </c>
      <c r="G136" s="171">
        <v>133</v>
      </c>
      <c r="H136" s="171">
        <v>31</v>
      </c>
    </row>
    <row r="137" spans="1:8" ht="14.25" customHeight="1">
      <c r="A137" s="598" t="s">
        <v>173</v>
      </c>
      <c r="B137" s="78" t="s">
        <v>285</v>
      </c>
      <c r="C137" s="171">
        <v>16159</v>
      </c>
      <c r="D137" s="171">
        <v>237</v>
      </c>
      <c r="E137" s="171">
        <v>339</v>
      </c>
      <c r="F137" s="171">
        <v>525</v>
      </c>
      <c r="G137" s="171">
        <v>643</v>
      </c>
      <c r="H137" s="171">
        <v>14204</v>
      </c>
    </row>
    <row r="138" spans="1:8" ht="14.25" customHeight="1">
      <c r="A138" s="598"/>
      <c r="B138" s="78" t="s">
        <v>286</v>
      </c>
      <c r="C138" s="171">
        <v>14965</v>
      </c>
      <c r="D138" s="171">
        <v>248</v>
      </c>
      <c r="E138" s="171">
        <v>386</v>
      </c>
      <c r="F138" s="171">
        <v>500</v>
      </c>
      <c r="G138" s="171">
        <v>670</v>
      </c>
      <c r="H138" s="171">
        <v>12981</v>
      </c>
    </row>
    <row r="139" spans="1:8" ht="14.25" customHeight="1">
      <c r="A139" s="598" t="s">
        <v>25</v>
      </c>
      <c r="B139" s="78" t="s">
        <v>285</v>
      </c>
      <c r="C139" s="171">
        <v>12252</v>
      </c>
      <c r="D139" s="171">
        <v>449</v>
      </c>
      <c r="E139" s="171">
        <v>1058</v>
      </c>
      <c r="F139" s="171">
        <v>1109</v>
      </c>
      <c r="G139" s="171">
        <v>1583</v>
      </c>
      <c r="H139" s="171">
        <v>2247</v>
      </c>
    </row>
    <row r="140" spans="1:8" ht="14.25" customHeight="1">
      <c r="A140" s="598"/>
      <c r="B140" s="78" t="s">
        <v>286</v>
      </c>
      <c r="C140" s="171">
        <v>12301</v>
      </c>
      <c r="D140" s="171">
        <v>395</v>
      </c>
      <c r="E140" s="171">
        <v>1004</v>
      </c>
      <c r="F140" s="171">
        <v>1262</v>
      </c>
      <c r="G140" s="171">
        <v>1456</v>
      </c>
      <c r="H140" s="171">
        <v>2400</v>
      </c>
    </row>
    <row r="141" spans="1:8" ht="14.25" customHeight="1">
      <c r="A141" s="598" t="s">
        <v>174</v>
      </c>
      <c r="B141" s="78" t="s">
        <v>285</v>
      </c>
      <c r="C141" s="171">
        <v>465</v>
      </c>
      <c r="D141" s="171">
        <v>31</v>
      </c>
      <c r="E141" s="171">
        <v>52</v>
      </c>
      <c r="F141" s="171">
        <v>120</v>
      </c>
      <c r="G141" s="171">
        <v>123</v>
      </c>
      <c r="H141" s="171">
        <v>96</v>
      </c>
    </row>
    <row r="142" spans="1:8" ht="14.25" customHeight="1">
      <c r="A142" s="598"/>
      <c r="B142" s="78" t="s">
        <v>286</v>
      </c>
      <c r="C142" s="171">
        <v>509</v>
      </c>
      <c r="D142" s="171">
        <v>35</v>
      </c>
      <c r="E142" s="171">
        <v>46</v>
      </c>
      <c r="F142" s="171">
        <v>122</v>
      </c>
      <c r="G142" s="171">
        <v>145</v>
      </c>
      <c r="H142" s="171">
        <v>124</v>
      </c>
    </row>
    <row r="143" spans="1:8" ht="14.25" customHeight="1">
      <c r="A143" s="600" t="s">
        <v>254</v>
      </c>
      <c r="B143" s="78" t="s">
        <v>285</v>
      </c>
      <c r="C143" s="171">
        <v>2609</v>
      </c>
      <c r="D143" s="171" t="s">
        <v>1074</v>
      </c>
      <c r="E143" s="171">
        <v>212</v>
      </c>
      <c r="F143" s="171">
        <v>611</v>
      </c>
      <c r="G143" s="171">
        <v>896</v>
      </c>
      <c r="H143" s="171">
        <v>206</v>
      </c>
    </row>
    <row r="144" spans="1:8" ht="14.25" customHeight="1">
      <c r="A144" s="600"/>
      <c r="B144" s="78" t="s">
        <v>286</v>
      </c>
      <c r="C144" s="171">
        <v>2615</v>
      </c>
      <c r="D144" s="171" t="s">
        <v>1074</v>
      </c>
      <c r="E144" s="171">
        <v>184</v>
      </c>
      <c r="F144" s="171">
        <v>538</v>
      </c>
      <c r="G144" s="171">
        <v>1276</v>
      </c>
      <c r="H144" s="171">
        <v>3</v>
      </c>
    </row>
    <row r="145" spans="1:10" ht="14.25" customHeight="1">
      <c r="A145" s="598" t="s">
        <v>177</v>
      </c>
      <c r="B145" s="78" t="s">
        <v>285</v>
      </c>
      <c r="C145" s="171">
        <v>1615</v>
      </c>
      <c r="D145" s="171">
        <v>289</v>
      </c>
      <c r="E145" s="171">
        <v>255</v>
      </c>
      <c r="F145" s="171">
        <v>416</v>
      </c>
      <c r="G145" s="171">
        <v>498</v>
      </c>
      <c r="H145" s="171" t="s">
        <v>1074</v>
      </c>
    </row>
    <row r="146" spans="1:10" ht="14.25" customHeight="1">
      <c r="A146" s="598"/>
      <c r="B146" s="78" t="s">
        <v>286</v>
      </c>
      <c r="C146" s="171">
        <v>1714</v>
      </c>
      <c r="D146" s="171">
        <v>278</v>
      </c>
      <c r="E146" s="171">
        <v>252</v>
      </c>
      <c r="F146" s="171">
        <v>494</v>
      </c>
      <c r="G146" s="171">
        <v>505</v>
      </c>
      <c r="H146" s="171" t="s">
        <v>1074</v>
      </c>
    </row>
    <row r="147" spans="1:10" ht="14.25" customHeight="1">
      <c r="A147" s="598" t="s">
        <v>178</v>
      </c>
      <c r="B147" s="78" t="s">
        <v>285</v>
      </c>
      <c r="C147" s="171">
        <v>1860</v>
      </c>
      <c r="D147" s="171">
        <v>39</v>
      </c>
      <c r="E147" s="171">
        <v>539</v>
      </c>
      <c r="F147" s="171">
        <v>142</v>
      </c>
      <c r="G147" s="171">
        <v>228</v>
      </c>
      <c r="H147" s="171">
        <v>275</v>
      </c>
    </row>
    <row r="148" spans="1:10" ht="14.25" customHeight="1">
      <c r="A148" s="598"/>
      <c r="B148" s="78" t="s">
        <v>286</v>
      </c>
      <c r="C148" s="171">
        <v>2199</v>
      </c>
      <c r="D148" s="171">
        <v>30</v>
      </c>
      <c r="E148" s="171">
        <v>618</v>
      </c>
      <c r="F148" s="171">
        <v>148</v>
      </c>
      <c r="G148" s="171">
        <v>295</v>
      </c>
      <c r="H148" s="171">
        <v>361</v>
      </c>
    </row>
    <row r="149" spans="1:10" ht="14.25" customHeight="1">
      <c r="A149" s="598" t="s">
        <v>179</v>
      </c>
      <c r="B149" s="78" t="s">
        <v>285</v>
      </c>
      <c r="C149" s="171">
        <v>5264</v>
      </c>
      <c r="D149" s="171">
        <v>408</v>
      </c>
      <c r="E149" s="171">
        <v>1273</v>
      </c>
      <c r="F149" s="171">
        <v>855</v>
      </c>
      <c r="G149" s="171">
        <v>577</v>
      </c>
      <c r="H149" s="171">
        <v>383</v>
      </c>
    </row>
    <row r="150" spans="1:10" ht="14.25" customHeight="1">
      <c r="A150" s="598"/>
      <c r="B150" s="78" t="s">
        <v>286</v>
      </c>
      <c r="C150" s="171">
        <v>4309</v>
      </c>
      <c r="D150" s="171">
        <v>296</v>
      </c>
      <c r="E150" s="171">
        <v>1037</v>
      </c>
      <c r="F150" s="171">
        <v>772</v>
      </c>
      <c r="G150" s="171">
        <v>495</v>
      </c>
      <c r="H150" s="171">
        <v>402</v>
      </c>
    </row>
    <row r="151" spans="1:10" ht="14.25" customHeight="1">
      <c r="A151" s="598" t="s">
        <v>180</v>
      </c>
      <c r="B151" s="78" t="s">
        <v>285</v>
      </c>
      <c r="C151" s="171">
        <v>3494</v>
      </c>
      <c r="D151" s="171">
        <v>221</v>
      </c>
      <c r="E151" s="171">
        <v>437</v>
      </c>
      <c r="F151" s="171">
        <v>887</v>
      </c>
      <c r="G151" s="171">
        <v>1717</v>
      </c>
      <c r="H151" s="171" t="s">
        <v>1074</v>
      </c>
    </row>
    <row r="152" spans="1:10" ht="14.25" customHeight="1">
      <c r="A152" s="598"/>
      <c r="B152" s="78" t="s">
        <v>286</v>
      </c>
      <c r="C152" s="171">
        <v>3601</v>
      </c>
      <c r="D152" s="171">
        <v>221</v>
      </c>
      <c r="E152" s="171">
        <v>436</v>
      </c>
      <c r="F152" s="171">
        <v>899</v>
      </c>
      <c r="G152" s="171">
        <v>1842</v>
      </c>
      <c r="H152" s="171" t="s">
        <v>1074</v>
      </c>
    </row>
    <row r="153" spans="1:10" ht="14.25" customHeight="1">
      <c r="A153" s="598" t="s">
        <v>184</v>
      </c>
      <c r="B153" s="78" t="s">
        <v>285</v>
      </c>
      <c r="C153" s="171">
        <v>2591</v>
      </c>
      <c r="D153" s="171">
        <v>36</v>
      </c>
      <c r="E153" s="171">
        <v>157</v>
      </c>
      <c r="F153" s="171" t="s">
        <v>1074</v>
      </c>
      <c r="G153" s="171" t="s">
        <v>1074</v>
      </c>
      <c r="H153" s="171">
        <v>2355</v>
      </c>
    </row>
    <row r="154" spans="1:10" ht="14.25" customHeight="1">
      <c r="A154" s="598"/>
      <c r="B154" s="78" t="s">
        <v>286</v>
      </c>
      <c r="C154" s="171">
        <v>2698</v>
      </c>
      <c r="D154" s="171">
        <v>84</v>
      </c>
      <c r="E154" s="171">
        <v>183</v>
      </c>
      <c r="F154" s="171" t="s">
        <v>1074</v>
      </c>
      <c r="G154" s="171" t="s">
        <v>1074</v>
      </c>
      <c r="H154" s="171">
        <v>2405</v>
      </c>
    </row>
    <row r="155" spans="1:10" ht="40.4" customHeight="1">
      <c r="A155" s="554" t="s">
        <v>243</v>
      </c>
      <c r="B155" s="554"/>
      <c r="C155" s="554"/>
      <c r="D155" s="554"/>
      <c r="E155" s="554"/>
      <c r="F155" s="554"/>
      <c r="G155" s="554"/>
      <c r="H155" s="555"/>
      <c r="J155" s="48"/>
    </row>
    <row r="156" spans="1:10" ht="14.25" customHeight="1">
      <c r="A156" s="593" t="s">
        <v>298</v>
      </c>
      <c r="B156" s="78" t="s">
        <v>285</v>
      </c>
      <c r="C156" s="171">
        <v>170489</v>
      </c>
      <c r="D156" s="171">
        <v>7467</v>
      </c>
      <c r="E156" s="171">
        <v>16478</v>
      </c>
      <c r="F156" s="171">
        <v>24473</v>
      </c>
      <c r="G156" s="171">
        <v>32417</v>
      </c>
      <c r="H156" s="171">
        <v>59437</v>
      </c>
      <c r="I156" s="41"/>
    </row>
    <row r="157" spans="1:10" ht="14.25" customHeight="1">
      <c r="A157" s="593"/>
      <c r="B157" s="122" t="s">
        <v>286</v>
      </c>
      <c r="C157" s="206">
        <v>172753</v>
      </c>
      <c r="D157" s="206">
        <v>8474</v>
      </c>
      <c r="E157" s="206">
        <v>16772</v>
      </c>
      <c r="F157" s="206">
        <v>25866</v>
      </c>
      <c r="G157" s="206">
        <v>36184</v>
      </c>
      <c r="H157" s="206">
        <v>51221</v>
      </c>
      <c r="I157" s="41"/>
    </row>
    <row r="158" spans="1:10" ht="14.25" customHeight="1">
      <c r="A158" s="594" t="s">
        <v>82</v>
      </c>
      <c r="B158" s="78" t="s">
        <v>285</v>
      </c>
      <c r="C158" s="171">
        <v>2415</v>
      </c>
      <c r="D158" s="171">
        <v>13</v>
      </c>
      <c r="E158" s="171">
        <v>428</v>
      </c>
      <c r="F158" s="171">
        <v>708</v>
      </c>
      <c r="G158" s="171">
        <v>1219</v>
      </c>
      <c r="H158" s="171">
        <v>35</v>
      </c>
      <c r="I158" s="41"/>
    </row>
    <row r="159" spans="1:10" ht="14.25" customHeight="1">
      <c r="A159" s="594"/>
      <c r="B159" s="78" t="s">
        <v>286</v>
      </c>
      <c r="C159" s="171">
        <v>2912</v>
      </c>
      <c r="D159" s="171">
        <v>58</v>
      </c>
      <c r="E159" s="171">
        <v>646</v>
      </c>
      <c r="F159" s="171">
        <v>1110</v>
      </c>
      <c r="G159" s="171">
        <v>1063</v>
      </c>
      <c r="H159" s="171">
        <v>12</v>
      </c>
      <c r="I159" s="41"/>
    </row>
    <row r="160" spans="1:10" ht="14.25" customHeight="1">
      <c r="A160" s="594" t="s">
        <v>83</v>
      </c>
      <c r="B160" s="78" t="s">
        <v>285</v>
      </c>
      <c r="C160" s="171">
        <v>2450</v>
      </c>
      <c r="D160" s="171">
        <v>9</v>
      </c>
      <c r="E160" s="171">
        <v>47</v>
      </c>
      <c r="F160" s="171">
        <v>72</v>
      </c>
      <c r="G160" s="171">
        <v>58</v>
      </c>
      <c r="H160" s="171">
        <v>90</v>
      </c>
      <c r="I160" s="41"/>
    </row>
    <row r="161" spans="1:9" ht="14.25" customHeight="1">
      <c r="A161" s="594"/>
      <c r="B161" s="78" t="s">
        <v>286</v>
      </c>
      <c r="C161" s="171">
        <v>2450</v>
      </c>
      <c r="D161" s="171">
        <v>9</v>
      </c>
      <c r="E161" s="171">
        <v>47</v>
      </c>
      <c r="F161" s="171">
        <v>72</v>
      </c>
      <c r="G161" s="171">
        <v>58</v>
      </c>
      <c r="H161" s="171">
        <v>90</v>
      </c>
      <c r="I161" s="41"/>
    </row>
    <row r="162" spans="1:9" ht="14.25" customHeight="1">
      <c r="A162" s="598" t="s">
        <v>949</v>
      </c>
      <c r="B162" s="78" t="s">
        <v>285</v>
      </c>
      <c r="C162" s="171">
        <v>21</v>
      </c>
      <c r="D162" s="171" t="s">
        <v>1074</v>
      </c>
      <c r="E162" s="171">
        <v>1</v>
      </c>
      <c r="F162" s="171" t="s">
        <v>1074</v>
      </c>
      <c r="G162" s="171" t="s">
        <v>1074</v>
      </c>
      <c r="H162" s="171">
        <v>3</v>
      </c>
    </row>
    <row r="163" spans="1:9" ht="14.25" customHeight="1">
      <c r="A163" s="598"/>
      <c r="B163" s="78" t="s">
        <v>286</v>
      </c>
      <c r="C163" s="171">
        <v>23</v>
      </c>
      <c r="D163" s="171" t="s">
        <v>1074</v>
      </c>
      <c r="E163" s="171" t="s">
        <v>1074</v>
      </c>
      <c r="F163" s="171" t="s">
        <v>1074</v>
      </c>
      <c r="G163" s="171" t="s">
        <v>1074</v>
      </c>
      <c r="H163" s="171">
        <v>4</v>
      </c>
    </row>
    <row r="164" spans="1:9" ht="14.25" customHeight="1">
      <c r="A164" s="594" t="s">
        <v>84</v>
      </c>
      <c r="B164" s="78" t="s">
        <v>285</v>
      </c>
      <c r="C164" s="171">
        <v>1976</v>
      </c>
      <c r="D164" s="171">
        <v>87</v>
      </c>
      <c r="E164" s="171">
        <v>112</v>
      </c>
      <c r="F164" s="171">
        <v>236</v>
      </c>
      <c r="G164" s="171">
        <v>407</v>
      </c>
      <c r="H164" s="171">
        <v>740</v>
      </c>
      <c r="I164" s="41"/>
    </row>
    <row r="165" spans="1:9" ht="14.25" customHeight="1">
      <c r="A165" s="594"/>
      <c r="B165" s="78" t="s">
        <v>286</v>
      </c>
      <c r="C165" s="171">
        <v>1651</v>
      </c>
      <c r="D165" s="171">
        <v>71</v>
      </c>
      <c r="E165" s="171">
        <v>74</v>
      </c>
      <c r="F165" s="171">
        <v>161</v>
      </c>
      <c r="G165" s="171">
        <v>784</v>
      </c>
      <c r="H165" s="171">
        <v>299</v>
      </c>
      <c r="I165" s="41"/>
    </row>
    <row r="166" spans="1:9" ht="14.25" customHeight="1">
      <c r="A166" s="598" t="s">
        <v>300</v>
      </c>
      <c r="B166" s="78" t="s">
        <v>285</v>
      </c>
      <c r="C166" s="171">
        <v>432</v>
      </c>
      <c r="D166" s="171">
        <v>35</v>
      </c>
      <c r="E166" s="171">
        <v>28</v>
      </c>
      <c r="F166" s="171">
        <v>78</v>
      </c>
      <c r="G166" s="171">
        <v>109</v>
      </c>
      <c r="H166" s="171">
        <v>150</v>
      </c>
    </row>
    <row r="167" spans="1:9" ht="14.25" customHeight="1">
      <c r="A167" s="598"/>
      <c r="B167" s="78" t="s">
        <v>286</v>
      </c>
      <c r="C167" s="171">
        <v>487</v>
      </c>
      <c r="D167" s="171">
        <v>91</v>
      </c>
      <c r="E167" s="171">
        <v>32</v>
      </c>
      <c r="F167" s="171">
        <v>73</v>
      </c>
      <c r="G167" s="171">
        <v>111</v>
      </c>
      <c r="H167" s="171">
        <v>148</v>
      </c>
    </row>
    <row r="168" spans="1:9" ht="14.25" customHeight="1">
      <c r="A168" s="594" t="s">
        <v>88</v>
      </c>
      <c r="B168" s="78" t="s">
        <v>285</v>
      </c>
      <c r="C168" s="171">
        <v>229</v>
      </c>
      <c r="D168" s="171">
        <v>10</v>
      </c>
      <c r="E168" s="171">
        <v>25</v>
      </c>
      <c r="F168" s="171">
        <v>58</v>
      </c>
      <c r="G168" s="171">
        <v>120</v>
      </c>
      <c r="H168" s="171" t="s">
        <v>1074</v>
      </c>
      <c r="I168" s="41"/>
    </row>
    <row r="169" spans="1:9" ht="14.25" customHeight="1">
      <c r="A169" s="594"/>
      <c r="B169" s="78" t="s">
        <v>286</v>
      </c>
      <c r="C169" s="171">
        <v>279</v>
      </c>
      <c r="D169" s="171">
        <v>13</v>
      </c>
      <c r="E169" s="171">
        <v>24</v>
      </c>
      <c r="F169" s="171">
        <v>46</v>
      </c>
      <c r="G169" s="171">
        <v>180</v>
      </c>
      <c r="H169" s="171" t="s">
        <v>1074</v>
      </c>
      <c r="I169" s="41"/>
    </row>
    <row r="170" spans="1:9" ht="14.25" customHeight="1">
      <c r="A170" s="594" t="s">
        <v>89</v>
      </c>
      <c r="B170" s="78" t="s">
        <v>285</v>
      </c>
      <c r="C170" s="171">
        <v>807</v>
      </c>
      <c r="D170" s="171" t="s">
        <v>1074</v>
      </c>
      <c r="E170" s="171">
        <v>27</v>
      </c>
      <c r="F170" s="171">
        <v>111</v>
      </c>
      <c r="G170" s="171">
        <v>78</v>
      </c>
      <c r="H170" s="171">
        <v>3</v>
      </c>
      <c r="I170" s="41"/>
    </row>
    <row r="171" spans="1:9" ht="14.25" customHeight="1">
      <c r="A171" s="594"/>
      <c r="B171" s="78" t="s">
        <v>286</v>
      </c>
      <c r="C171" s="171">
        <v>825</v>
      </c>
      <c r="D171" s="171" t="s">
        <v>1074</v>
      </c>
      <c r="E171" s="171">
        <v>28</v>
      </c>
      <c r="F171" s="171">
        <v>111</v>
      </c>
      <c r="G171" s="171">
        <v>83</v>
      </c>
      <c r="H171" s="171">
        <v>14</v>
      </c>
      <c r="I171" s="41"/>
    </row>
    <row r="172" spans="1:9" ht="14.25" customHeight="1">
      <c r="A172" s="605" t="s">
        <v>301</v>
      </c>
      <c r="B172" s="78" t="s">
        <v>285</v>
      </c>
      <c r="C172" s="171">
        <v>20</v>
      </c>
      <c r="D172" s="171">
        <v>4</v>
      </c>
      <c r="E172" s="171">
        <v>9</v>
      </c>
      <c r="F172" s="171">
        <v>4</v>
      </c>
      <c r="G172" s="171" t="s">
        <v>1074</v>
      </c>
      <c r="H172" s="171" t="s">
        <v>1074</v>
      </c>
      <c r="I172" s="41"/>
    </row>
    <row r="173" spans="1:9" ht="14.25" customHeight="1">
      <c r="A173" s="605"/>
      <c r="B173" s="78" t="s">
        <v>286</v>
      </c>
      <c r="C173" s="171">
        <v>18</v>
      </c>
      <c r="D173" s="171">
        <v>4</v>
      </c>
      <c r="E173" s="171">
        <v>9</v>
      </c>
      <c r="F173" s="171">
        <v>2</v>
      </c>
      <c r="G173" s="171" t="s">
        <v>1074</v>
      </c>
      <c r="H173" s="171" t="s">
        <v>1074</v>
      </c>
      <c r="I173" s="41"/>
    </row>
    <row r="174" spans="1:9" ht="14.25" customHeight="1">
      <c r="A174" s="605" t="s">
        <v>302</v>
      </c>
      <c r="B174" s="78" t="s">
        <v>285</v>
      </c>
      <c r="C174" s="171">
        <v>30</v>
      </c>
      <c r="D174" s="171" t="s">
        <v>1074</v>
      </c>
      <c r="E174" s="171" t="s">
        <v>1074</v>
      </c>
      <c r="F174" s="171" t="s">
        <v>1074</v>
      </c>
      <c r="G174" s="171" t="s">
        <v>1074</v>
      </c>
      <c r="H174" s="171" t="s">
        <v>1074</v>
      </c>
      <c r="I174" s="41"/>
    </row>
    <row r="175" spans="1:9" ht="14.25" customHeight="1">
      <c r="A175" s="605"/>
      <c r="B175" s="78" t="s">
        <v>286</v>
      </c>
      <c r="C175" s="171">
        <v>30</v>
      </c>
      <c r="D175" s="171" t="s">
        <v>1074</v>
      </c>
      <c r="E175" s="171" t="s">
        <v>1074</v>
      </c>
      <c r="F175" s="171" t="s">
        <v>1074</v>
      </c>
      <c r="G175" s="171" t="s">
        <v>1074</v>
      </c>
      <c r="H175" s="171" t="s">
        <v>1074</v>
      </c>
      <c r="I175" s="41"/>
    </row>
    <row r="176" spans="1:9" ht="14.25" customHeight="1">
      <c r="A176" s="594" t="s">
        <v>93</v>
      </c>
      <c r="B176" s="78" t="s">
        <v>285</v>
      </c>
      <c r="C176" s="171">
        <v>629</v>
      </c>
      <c r="D176" s="171">
        <v>121</v>
      </c>
      <c r="E176" s="171">
        <v>130</v>
      </c>
      <c r="F176" s="171">
        <v>195</v>
      </c>
      <c r="G176" s="171">
        <v>132</v>
      </c>
      <c r="H176" s="171" t="s">
        <v>1074</v>
      </c>
      <c r="I176" s="41"/>
    </row>
    <row r="177" spans="1:9" ht="14.25" customHeight="1">
      <c r="A177" s="594"/>
      <c r="B177" s="78" t="s">
        <v>286</v>
      </c>
      <c r="C177" s="171">
        <v>684</v>
      </c>
      <c r="D177" s="171">
        <v>138</v>
      </c>
      <c r="E177" s="171">
        <v>153</v>
      </c>
      <c r="F177" s="171">
        <v>189</v>
      </c>
      <c r="G177" s="171">
        <v>143</v>
      </c>
      <c r="H177" s="171" t="s">
        <v>1074</v>
      </c>
      <c r="I177" s="41"/>
    </row>
    <row r="178" spans="1:9" ht="14.25" customHeight="1">
      <c r="A178" s="594" t="s">
        <v>94</v>
      </c>
      <c r="B178" s="78" t="s">
        <v>285</v>
      </c>
      <c r="C178" s="171">
        <v>1333</v>
      </c>
      <c r="D178" s="171">
        <v>22</v>
      </c>
      <c r="E178" s="171">
        <v>52</v>
      </c>
      <c r="F178" s="171">
        <v>156</v>
      </c>
      <c r="G178" s="171">
        <v>101</v>
      </c>
      <c r="H178" s="171">
        <v>143</v>
      </c>
      <c r="I178" s="41"/>
    </row>
    <row r="179" spans="1:9" ht="14.25" customHeight="1">
      <c r="A179" s="594"/>
      <c r="B179" s="78" t="s">
        <v>286</v>
      </c>
      <c r="C179" s="171">
        <v>1402</v>
      </c>
      <c r="D179" s="171">
        <v>19</v>
      </c>
      <c r="E179" s="171">
        <v>49</v>
      </c>
      <c r="F179" s="171">
        <v>133</v>
      </c>
      <c r="G179" s="171">
        <v>139</v>
      </c>
      <c r="H179" s="171">
        <v>111</v>
      </c>
      <c r="I179" s="41"/>
    </row>
    <row r="180" spans="1:9" ht="14.25" customHeight="1">
      <c r="A180" s="594" t="s">
        <v>95</v>
      </c>
      <c r="B180" s="78" t="s">
        <v>285</v>
      </c>
      <c r="C180" s="171">
        <v>3482</v>
      </c>
      <c r="D180" s="171">
        <v>0</v>
      </c>
      <c r="E180" s="171">
        <v>969</v>
      </c>
      <c r="F180" s="171">
        <v>1206</v>
      </c>
      <c r="G180" s="171" t="s">
        <v>1074</v>
      </c>
      <c r="H180" s="171">
        <v>588</v>
      </c>
      <c r="I180" s="41"/>
    </row>
    <row r="181" spans="1:9" ht="14.25" customHeight="1">
      <c r="A181" s="594"/>
      <c r="B181" s="78" t="s">
        <v>286</v>
      </c>
      <c r="C181" s="171">
        <v>4579</v>
      </c>
      <c r="D181" s="171">
        <v>1003</v>
      </c>
      <c r="E181" s="171">
        <v>998</v>
      </c>
      <c r="F181" s="171">
        <v>1222</v>
      </c>
      <c r="G181" s="171" t="s">
        <v>1074</v>
      </c>
      <c r="H181" s="171">
        <v>601</v>
      </c>
      <c r="I181" s="41"/>
    </row>
    <row r="182" spans="1:9" ht="14.25" customHeight="1">
      <c r="A182" s="600" t="s">
        <v>948</v>
      </c>
      <c r="B182" s="78" t="s">
        <v>285</v>
      </c>
      <c r="C182" s="171">
        <v>32</v>
      </c>
      <c r="D182" s="171" t="s">
        <v>1074</v>
      </c>
      <c r="E182" s="171" t="s">
        <v>1074</v>
      </c>
      <c r="F182" s="171" t="s">
        <v>1074</v>
      </c>
      <c r="G182" s="171" t="s">
        <v>1074</v>
      </c>
      <c r="H182" s="171" t="s">
        <v>1074</v>
      </c>
    </row>
    <row r="183" spans="1:9" ht="14.25" customHeight="1">
      <c r="A183" s="600"/>
      <c r="B183" s="78" t="s">
        <v>286</v>
      </c>
      <c r="C183" s="171">
        <v>35</v>
      </c>
      <c r="D183" s="171" t="s">
        <v>1074</v>
      </c>
      <c r="E183" s="171" t="s">
        <v>1074</v>
      </c>
      <c r="F183" s="171" t="s">
        <v>1074</v>
      </c>
      <c r="G183" s="171" t="s">
        <v>1074</v>
      </c>
      <c r="H183" s="171" t="s">
        <v>1074</v>
      </c>
    </row>
    <row r="184" spans="1:9" ht="14.25" customHeight="1">
      <c r="A184" s="600" t="s">
        <v>929</v>
      </c>
      <c r="B184" s="78" t="s">
        <v>285</v>
      </c>
      <c r="C184" s="171">
        <v>919</v>
      </c>
      <c r="D184" s="171">
        <v>45</v>
      </c>
      <c r="E184" s="171">
        <v>173</v>
      </c>
      <c r="F184" s="171">
        <v>314</v>
      </c>
      <c r="G184" s="171">
        <v>363</v>
      </c>
      <c r="H184" s="171">
        <v>17</v>
      </c>
      <c r="I184" s="41"/>
    </row>
    <row r="185" spans="1:9" ht="14.25" customHeight="1">
      <c r="A185" s="600"/>
      <c r="B185" s="78" t="s">
        <v>286</v>
      </c>
      <c r="C185" s="171">
        <v>940</v>
      </c>
      <c r="D185" s="171">
        <v>103</v>
      </c>
      <c r="E185" s="171">
        <v>172</v>
      </c>
      <c r="F185" s="171">
        <v>230</v>
      </c>
      <c r="G185" s="171">
        <v>417</v>
      </c>
      <c r="H185" s="171">
        <v>9</v>
      </c>
      <c r="I185" s="41"/>
    </row>
    <row r="186" spans="1:9" ht="14.25" customHeight="1">
      <c r="A186" s="600" t="s">
        <v>928</v>
      </c>
      <c r="B186" s="78" t="s">
        <v>285</v>
      </c>
      <c r="C186" s="171">
        <v>487</v>
      </c>
      <c r="D186" s="171">
        <v>17</v>
      </c>
      <c r="E186" s="171">
        <v>58</v>
      </c>
      <c r="F186" s="171">
        <v>192</v>
      </c>
      <c r="G186" s="171">
        <v>216</v>
      </c>
      <c r="H186" s="171" t="s">
        <v>1074</v>
      </c>
      <c r="I186" s="41"/>
    </row>
    <row r="187" spans="1:9" ht="14.25" customHeight="1">
      <c r="A187" s="600"/>
      <c r="B187" s="78" t="s">
        <v>286</v>
      </c>
      <c r="C187" s="171">
        <v>460</v>
      </c>
      <c r="D187" s="171">
        <v>13</v>
      </c>
      <c r="E187" s="171">
        <v>43</v>
      </c>
      <c r="F187" s="171">
        <v>241</v>
      </c>
      <c r="G187" s="171">
        <v>142</v>
      </c>
      <c r="H187" s="171">
        <v>9</v>
      </c>
      <c r="I187" s="41"/>
    </row>
    <row r="188" spans="1:9" ht="14.25" customHeight="1">
      <c r="A188" s="594" t="s">
        <v>99</v>
      </c>
      <c r="B188" s="78" t="s">
        <v>285</v>
      </c>
      <c r="C188" s="171">
        <v>1636</v>
      </c>
      <c r="D188" s="171">
        <v>51</v>
      </c>
      <c r="E188" s="171">
        <v>67</v>
      </c>
      <c r="F188" s="171">
        <v>68</v>
      </c>
      <c r="G188" s="171">
        <v>32</v>
      </c>
      <c r="H188" s="171">
        <v>44</v>
      </c>
      <c r="I188" s="41"/>
    </row>
    <row r="189" spans="1:9" ht="14.25" customHeight="1">
      <c r="A189" s="594"/>
      <c r="B189" s="78" t="s">
        <v>286</v>
      </c>
      <c r="C189" s="171">
        <v>1764</v>
      </c>
      <c r="D189" s="171">
        <v>68</v>
      </c>
      <c r="E189" s="171">
        <v>65</v>
      </c>
      <c r="F189" s="171">
        <v>68</v>
      </c>
      <c r="G189" s="171">
        <v>28</v>
      </c>
      <c r="H189" s="171">
        <v>38</v>
      </c>
      <c r="I189" s="41"/>
    </row>
    <row r="190" spans="1:9" ht="14.25" customHeight="1">
      <c r="A190" s="595" t="s">
        <v>304</v>
      </c>
      <c r="B190" s="78" t="s">
        <v>285</v>
      </c>
      <c r="C190" s="171">
        <v>961</v>
      </c>
      <c r="D190" s="171" t="s">
        <v>1074</v>
      </c>
      <c r="E190" s="171">
        <v>416</v>
      </c>
      <c r="F190" s="171" t="s">
        <v>1074</v>
      </c>
      <c r="G190" s="171" t="s">
        <v>1074</v>
      </c>
      <c r="H190" s="171">
        <v>52</v>
      </c>
      <c r="I190" s="41"/>
    </row>
    <row r="191" spans="1:9" ht="14.25" customHeight="1">
      <c r="A191" s="595"/>
      <c r="B191" s="78" t="s">
        <v>286</v>
      </c>
      <c r="C191" s="171">
        <v>936</v>
      </c>
      <c r="D191" s="171" t="s">
        <v>1074</v>
      </c>
      <c r="E191" s="171">
        <v>395</v>
      </c>
      <c r="F191" s="171" t="s">
        <v>1074</v>
      </c>
      <c r="G191" s="171" t="s">
        <v>1074</v>
      </c>
      <c r="H191" s="171">
        <v>56</v>
      </c>
      <c r="I191" s="41"/>
    </row>
    <row r="192" spans="1:9" ht="14.25" customHeight="1">
      <c r="A192" s="595" t="s">
        <v>255</v>
      </c>
      <c r="B192" s="78" t="s">
        <v>285</v>
      </c>
      <c r="C192" s="171">
        <v>1610</v>
      </c>
      <c r="D192" s="171">
        <v>70</v>
      </c>
      <c r="E192" s="171">
        <v>170</v>
      </c>
      <c r="F192" s="171">
        <v>200</v>
      </c>
      <c r="G192" s="171">
        <v>480</v>
      </c>
      <c r="H192" s="171">
        <v>520</v>
      </c>
      <c r="I192" s="41"/>
    </row>
    <row r="193" spans="1:9" ht="14.25" customHeight="1">
      <c r="A193" s="595"/>
      <c r="B193" s="78" t="s">
        <v>286</v>
      </c>
      <c r="C193" s="171">
        <v>908</v>
      </c>
      <c r="D193" s="171" t="s">
        <v>1074</v>
      </c>
      <c r="E193" s="171">
        <v>130</v>
      </c>
      <c r="F193" s="171">
        <v>188</v>
      </c>
      <c r="G193" s="171">
        <v>232</v>
      </c>
      <c r="H193" s="171">
        <v>285</v>
      </c>
      <c r="I193" s="41"/>
    </row>
    <row r="194" spans="1:9" ht="14.25" customHeight="1">
      <c r="A194" s="600" t="s">
        <v>950</v>
      </c>
      <c r="B194" s="78" t="s">
        <v>285</v>
      </c>
      <c r="C194" s="171">
        <v>20</v>
      </c>
      <c r="D194" s="171">
        <v>4</v>
      </c>
      <c r="E194" s="171">
        <v>9</v>
      </c>
      <c r="F194" s="171" t="s">
        <v>1074</v>
      </c>
      <c r="G194" s="171" t="s">
        <v>1074</v>
      </c>
      <c r="H194" s="171" t="s">
        <v>1074</v>
      </c>
    </row>
    <row r="195" spans="1:9" ht="14.25" customHeight="1">
      <c r="A195" s="600"/>
      <c r="B195" s="78" t="s">
        <v>286</v>
      </c>
      <c r="C195" s="171">
        <v>24</v>
      </c>
      <c r="D195" s="171">
        <v>16</v>
      </c>
      <c r="E195" s="171" t="s">
        <v>1074</v>
      </c>
      <c r="F195" s="171" t="s">
        <v>1074</v>
      </c>
      <c r="G195" s="171" t="s">
        <v>1074</v>
      </c>
      <c r="H195" s="171" t="s">
        <v>1074</v>
      </c>
    </row>
    <row r="196" spans="1:9" ht="14.25" customHeight="1">
      <c r="A196" s="598" t="s">
        <v>104</v>
      </c>
      <c r="B196" s="78" t="s">
        <v>285</v>
      </c>
      <c r="C196" s="171">
        <v>1957</v>
      </c>
      <c r="D196" s="171">
        <v>404</v>
      </c>
      <c r="E196" s="171">
        <v>445</v>
      </c>
      <c r="F196" s="171">
        <v>244</v>
      </c>
      <c r="G196" s="171">
        <v>22</v>
      </c>
      <c r="H196" s="171" t="s">
        <v>1074</v>
      </c>
    </row>
    <row r="197" spans="1:9" ht="14.25" customHeight="1">
      <c r="A197" s="598"/>
      <c r="B197" s="78" t="s">
        <v>286</v>
      </c>
      <c r="C197" s="171">
        <v>2069</v>
      </c>
      <c r="D197" s="171">
        <v>340</v>
      </c>
      <c r="E197" s="171">
        <v>515</v>
      </c>
      <c r="F197" s="171">
        <v>366</v>
      </c>
      <c r="G197" s="171">
        <v>59</v>
      </c>
      <c r="H197" s="171" t="s">
        <v>1074</v>
      </c>
    </row>
    <row r="198" spans="1:9" ht="14.25" customHeight="1">
      <c r="A198" s="598" t="s">
        <v>16</v>
      </c>
      <c r="B198" s="78" t="s">
        <v>285</v>
      </c>
      <c r="C198" s="171">
        <v>1175</v>
      </c>
      <c r="D198" s="171">
        <v>82</v>
      </c>
      <c r="E198" s="171">
        <v>162</v>
      </c>
      <c r="F198" s="171">
        <v>450</v>
      </c>
      <c r="G198" s="171">
        <v>327</v>
      </c>
      <c r="H198" s="171">
        <v>73</v>
      </c>
    </row>
    <row r="199" spans="1:9" ht="14.25" customHeight="1">
      <c r="A199" s="598"/>
      <c r="B199" s="78" t="s">
        <v>286</v>
      </c>
      <c r="C199" s="171">
        <v>1370</v>
      </c>
      <c r="D199" s="171">
        <v>61</v>
      </c>
      <c r="E199" s="171">
        <v>126</v>
      </c>
      <c r="F199" s="171">
        <v>377</v>
      </c>
      <c r="G199" s="171">
        <v>569</v>
      </c>
      <c r="H199" s="171">
        <v>180</v>
      </c>
    </row>
    <row r="200" spans="1:9" ht="14.25" customHeight="1">
      <c r="A200" s="594" t="s">
        <v>106</v>
      </c>
      <c r="B200" s="78" t="s">
        <v>285</v>
      </c>
      <c r="C200" s="171">
        <v>1316</v>
      </c>
      <c r="D200" s="171">
        <v>154</v>
      </c>
      <c r="E200" s="171">
        <v>187</v>
      </c>
      <c r="F200" s="171">
        <v>314</v>
      </c>
      <c r="G200" s="171">
        <v>475</v>
      </c>
      <c r="H200" s="171">
        <v>66</v>
      </c>
      <c r="I200" s="41"/>
    </row>
    <row r="201" spans="1:9" ht="14.25" customHeight="1">
      <c r="A201" s="594"/>
      <c r="B201" s="78" t="s">
        <v>286</v>
      </c>
      <c r="C201" s="171">
        <v>1316</v>
      </c>
      <c r="D201" s="171">
        <v>154</v>
      </c>
      <c r="E201" s="171">
        <v>187</v>
      </c>
      <c r="F201" s="171">
        <v>314</v>
      </c>
      <c r="G201" s="171">
        <v>475</v>
      </c>
      <c r="H201" s="171">
        <v>66</v>
      </c>
      <c r="I201" s="41"/>
    </row>
    <row r="202" spans="1:9" ht="14.25" customHeight="1">
      <c r="A202" s="598" t="s">
        <v>1118</v>
      </c>
      <c r="B202" s="78" t="s">
        <v>285</v>
      </c>
      <c r="C202" s="171">
        <v>11410</v>
      </c>
      <c r="D202" s="171">
        <v>90</v>
      </c>
      <c r="E202" s="171">
        <v>150</v>
      </c>
      <c r="F202" s="171">
        <v>250</v>
      </c>
      <c r="G202" s="171">
        <v>650</v>
      </c>
      <c r="H202" s="171">
        <v>10200</v>
      </c>
    </row>
    <row r="203" spans="1:9" ht="14.25" customHeight="1">
      <c r="A203" s="598"/>
      <c r="B203" s="78" t="s">
        <v>286</v>
      </c>
      <c r="C203" s="171">
        <v>515</v>
      </c>
      <c r="D203" s="171">
        <v>15</v>
      </c>
      <c r="E203" s="171">
        <v>25</v>
      </c>
      <c r="F203" s="171">
        <v>60</v>
      </c>
      <c r="G203" s="171">
        <v>150</v>
      </c>
      <c r="H203" s="171">
        <v>250</v>
      </c>
    </row>
    <row r="204" spans="1:9" ht="14.25" customHeight="1">
      <c r="A204" s="594" t="s">
        <v>110</v>
      </c>
      <c r="B204" s="78" t="s">
        <v>285</v>
      </c>
      <c r="C204" s="171">
        <v>2090</v>
      </c>
      <c r="D204" s="171">
        <v>355</v>
      </c>
      <c r="E204" s="171">
        <v>477</v>
      </c>
      <c r="F204" s="171">
        <v>191</v>
      </c>
      <c r="G204" s="171">
        <v>156</v>
      </c>
      <c r="H204" s="171">
        <v>152</v>
      </c>
      <c r="I204" s="41"/>
    </row>
    <row r="205" spans="1:9" ht="14.25" customHeight="1">
      <c r="A205" s="594"/>
      <c r="B205" s="78" t="s">
        <v>286</v>
      </c>
      <c r="C205" s="171">
        <v>2165</v>
      </c>
      <c r="D205" s="171">
        <v>367</v>
      </c>
      <c r="E205" s="171">
        <v>475</v>
      </c>
      <c r="F205" s="171">
        <v>215</v>
      </c>
      <c r="G205" s="171">
        <v>166</v>
      </c>
      <c r="H205" s="171">
        <v>173</v>
      </c>
      <c r="I205" s="41"/>
    </row>
    <row r="206" spans="1:9" ht="14.25" customHeight="1">
      <c r="A206" s="594" t="s">
        <v>111</v>
      </c>
      <c r="B206" s="78" t="s">
        <v>285</v>
      </c>
      <c r="C206" s="171">
        <v>740</v>
      </c>
      <c r="D206" s="171">
        <v>54</v>
      </c>
      <c r="E206" s="171">
        <v>105</v>
      </c>
      <c r="F206" s="171">
        <v>117</v>
      </c>
      <c r="G206" s="171">
        <v>220</v>
      </c>
      <c r="H206" s="171">
        <v>176</v>
      </c>
      <c r="I206" s="41"/>
    </row>
    <row r="207" spans="1:9" ht="14.25" customHeight="1">
      <c r="A207" s="594"/>
      <c r="B207" s="78" t="s">
        <v>286</v>
      </c>
      <c r="C207" s="171">
        <v>1071</v>
      </c>
      <c r="D207" s="171">
        <v>60</v>
      </c>
      <c r="E207" s="171">
        <v>96</v>
      </c>
      <c r="F207" s="171">
        <v>126</v>
      </c>
      <c r="G207" s="171">
        <v>213</v>
      </c>
      <c r="H207" s="171">
        <v>514</v>
      </c>
      <c r="I207" s="41"/>
    </row>
    <row r="208" spans="1:9" ht="14.25" customHeight="1">
      <c r="A208" s="594" t="s">
        <v>117</v>
      </c>
      <c r="B208" s="78" t="s">
        <v>285</v>
      </c>
      <c r="C208" s="171">
        <v>563</v>
      </c>
      <c r="D208" s="171" t="s">
        <v>1074</v>
      </c>
      <c r="E208" s="171">
        <v>181</v>
      </c>
      <c r="F208" s="171">
        <v>166</v>
      </c>
      <c r="G208" s="171">
        <v>40</v>
      </c>
      <c r="H208" s="171">
        <v>85</v>
      </c>
      <c r="I208" s="41"/>
    </row>
    <row r="209" spans="1:9" ht="14.25" customHeight="1">
      <c r="A209" s="594"/>
      <c r="B209" s="78" t="s">
        <v>286</v>
      </c>
      <c r="C209" s="171">
        <v>564</v>
      </c>
      <c r="D209" s="171" t="s">
        <v>1074</v>
      </c>
      <c r="E209" s="171">
        <v>78</v>
      </c>
      <c r="F209" s="171">
        <v>139</v>
      </c>
      <c r="G209" s="171">
        <v>109</v>
      </c>
      <c r="H209" s="171">
        <v>160</v>
      </c>
      <c r="I209" s="41"/>
    </row>
    <row r="210" spans="1:9" ht="14.25" customHeight="1">
      <c r="A210" s="594" t="s">
        <v>18</v>
      </c>
      <c r="B210" s="78" t="s">
        <v>285</v>
      </c>
      <c r="C210" s="171">
        <v>6354</v>
      </c>
      <c r="D210" s="171">
        <v>314</v>
      </c>
      <c r="E210" s="171">
        <v>559</v>
      </c>
      <c r="F210" s="171">
        <v>1385</v>
      </c>
      <c r="G210" s="171">
        <v>2444</v>
      </c>
      <c r="H210" s="171">
        <v>1196</v>
      </c>
      <c r="I210" s="41"/>
    </row>
    <row r="211" spans="1:9" ht="14.25" customHeight="1">
      <c r="A211" s="594"/>
      <c r="B211" s="78" t="s">
        <v>286</v>
      </c>
      <c r="C211" s="171">
        <v>6767</v>
      </c>
      <c r="D211" s="171">
        <v>319</v>
      </c>
      <c r="E211" s="171">
        <v>567</v>
      </c>
      <c r="F211" s="171">
        <v>1817</v>
      </c>
      <c r="G211" s="171">
        <v>2249</v>
      </c>
      <c r="H211" s="171">
        <v>1303</v>
      </c>
      <c r="I211" s="41"/>
    </row>
    <row r="212" spans="1:9" ht="14.25" customHeight="1">
      <c r="A212" s="606" t="s">
        <v>306</v>
      </c>
      <c r="B212" s="78" t="s">
        <v>285</v>
      </c>
      <c r="C212" s="171">
        <v>917</v>
      </c>
      <c r="D212" s="171" t="s">
        <v>1074</v>
      </c>
      <c r="E212" s="171">
        <v>222</v>
      </c>
      <c r="F212" s="171">
        <v>190</v>
      </c>
      <c r="G212" s="171">
        <v>165</v>
      </c>
      <c r="H212" s="171">
        <v>90</v>
      </c>
      <c r="I212" s="41"/>
    </row>
    <row r="213" spans="1:9" ht="14.25" customHeight="1">
      <c r="A213" s="606"/>
      <c r="B213" s="78" t="s">
        <v>286</v>
      </c>
      <c r="C213" s="171">
        <v>1095</v>
      </c>
      <c r="D213" s="171" t="s">
        <v>1074</v>
      </c>
      <c r="E213" s="171">
        <v>282</v>
      </c>
      <c r="F213" s="171">
        <v>221</v>
      </c>
      <c r="G213" s="171">
        <v>182</v>
      </c>
      <c r="H213" s="171">
        <v>110</v>
      </c>
      <c r="I213" s="41"/>
    </row>
    <row r="214" spans="1:9" ht="14.25" customHeight="1">
      <c r="A214" s="594" t="s">
        <v>1010</v>
      </c>
      <c r="B214" s="78" t="s">
        <v>285</v>
      </c>
      <c r="C214" s="171">
        <v>81</v>
      </c>
      <c r="D214" s="171">
        <v>34</v>
      </c>
      <c r="E214" s="171" t="s">
        <v>1074</v>
      </c>
      <c r="F214" s="171" t="s">
        <v>1074</v>
      </c>
      <c r="G214" s="171" t="s">
        <v>1074</v>
      </c>
      <c r="H214" s="171" t="s">
        <v>1074</v>
      </c>
      <c r="I214" s="41"/>
    </row>
    <row r="215" spans="1:9" ht="14.25" customHeight="1">
      <c r="A215" s="594"/>
      <c r="B215" s="78" t="s">
        <v>286</v>
      </c>
      <c r="C215" s="171">
        <v>102</v>
      </c>
      <c r="D215" s="171">
        <v>56</v>
      </c>
      <c r="E215" s="171" t="s">
        <v>1074</v>
      </c>
      <c r="F215" s="171" t="s">
        <v>1074</v>
      </c>
      <c r="G215" s="171" t="s">
        <v>1074</v>
      </c>
      <c r="H215" s="171" t="s">
        <v>1074</v>
      </c>
      <c r="I215" s="41"/>
    </row>
    <row r="216" spans="1:9" ht="14.25" customHeight="1">
      <c r="A216" s="594" t="s">
        <v>19</v>
      </c>
      <c r="B216" s="78" t="s">
        <v>285</v>
      </c>
      <c r="C216" s="171">
        <v>12576</v>
      </c>
      <c r="D216" s="171">
        <v>353</v>
      </c>
      <c r="E216" s="171">
        <v>678</v>
      </c>
      <c r="F216" s="171">
        <v>1384</v>
      </c>
      <c r="G216" s="171">
        <v>3116</v>
      </c>
      <c r="H216" s="171">
        <v>6498</v>
      </c>
      <c r="I216" s="41"/>
    </row>
    <row r="217" spans="1:9" ht="14.25" customHeight="1">
      <c r="A217" s="594"/>
      <c r="B217" s="78" t="s">
        <v>286</v>
      </c>
      <c r="C217" s="171">
        <v>13573</v>
      </c>
      <c r="D217" s="171">
        <v>353</v>
      </c>
      <c r="E217" s="171">
        <v>741</v>
      </c>
      <c r="F217" s="171">
        <v>1487</v>
      </c>
      <c r="G217" s="171">
        <v>3605</v>
      </c>
      <c r="H217" s="171">
        <v>6775</v>
      </c>
      <c r="I217" s="41"/>
    </row>
    <row r="218" spans="1:9" ht="14.25" customHeight="1">
      <c r="A218" s="594" t="s">
        <v>119</v>
      </c>
      <c r="B218" s="78" t="s">
        <v>285</v>
      </c>
      <c r="C218" s="171">
        <v>440</v>
      </c>
      <c r="D218" s="171">
        <v>70</v>
      </c>
      <c r="E218" s="171">
        <v>83</v>
      </c>
      <c r="F218" s="171">
        <v>158</v>
      </c>
      <c r="G218" s="171">
        <v>15</v>
      </c>
      <c r="H218" s="171" t="s">
        <v>1074</v>
      </c>
      <c r="I218" s="41"/>
    </row>
    <row r="219" spans="1:9" ht="14.25" customHeight="1">
      <c r="A219" s="594"/>
      <c r="B219" s="78" t="s">
        <v>286</v>
      </c>
      <c r="C219" s="171">
        <v>477</v>
      </c>
      <c r="D219" s="171">
        <v>61</v>
      </c>
      <c r="E219" s="171">
        <v>104</v>
      </c>
      <c r="F219" s="171">
        <v>116</v>
      </c>
      <c r="G219" s="171">
        <v>81</v>
      </c>
      <c r="H219" s="171" t="s">
        <v>1074</v>
      </c>
      <c r="I219" s="41"/>
    </row>
    <row r="220" spans="1:9" ht="14.25" customHeight="1">
      <c r="A220" s="594" t="s">
        <v>120</v>
      </c>
      <c r="B220" s="78" t="s">
        <v>285</v>
      </c>
      <c r="C220" s="171">
        <v>1088</v>
      </c>
      <c r="D220" s="171" t="s">
        <v>1074</v>
      </c>
      <c r="E220" s="171">
        <v>65</v>
      </c>
      <c r="F220" s="171">
        <v>51</v>
      </c>
      <c r="G220" s="171">
        <v>304</v>
      </c>
      <c r="H220" s="171">
        <v>627</v>
      </c>
      <c r="I220" s="41"/>
    </row>
    <row r="221" spans="1:9" ht="14.25" customHeight="1">
      <c r="A221" s="594"/>
      <c r="B221" s="78" t="s">
        <v>286</v>
      </c>
      <c r="C221" s="171">
        <v>1251</v>
      </c>
      <c r="D221" s="171" t="s">
        <v>1074</v>
      </c>
      <c r="E221" s="171">
        <v>76</v>
      </c>
      <c r="F221" s="171">
        <v>91</v>
      </c>
      <c r="G221" s="171">
        <v>370</v>
      </c>
      <c r="H221" s="171">
        <v>670</v>
      </c>
      <c r="I221" s="41"/>
    </row>
    <row r="222" spans="1:9" ht="14.25" customHeight="1">
      <c r="A222" s="594" t="s">
        <v>307</v>
      </c>
      <c r="B222" s="78" t="s">
        <v>285</v>
      </c>
      <c r="C222" s="171">
        <v>854</v>
      </c>
      <c r="D222" s="171">
        <v>30</v>
      </c>
      <c r="E222" s="171">
        <v>40</v>
      </c>
      <c r="F222" s="171">
        <v>85</v>
      </c>
      <c r="G222" s="171">
        <v>150</v>
      </c>
      <c r="H222" s="171">
        <v>531</v>
      </c>
      <c r="I222" s="41"/>
    </row>
    <row r="223" spans="1:9" ht="14.25" customHeight="1">
      <c r="A223" s="594"/>
      <c r="B223" s="78" t="s">
        <v>286</v>
      </c>
      <c r="C223" s="171">
        <v>868</v>
      </c>
      <c r="D223" s="171">
        <v>46</v>
      </c>
      <c r="E223" s="171">
        <v>62</v>
      </c>
      <c r="F223" s="171">
        <v>98</v>
      </c>
      <c r="G223" s="171">
        <v>156</v>
      </c>
      <c r="H223" s="171">
        <v>490</v>
      </c>
      <c r="I223" s="41"/>
    </row>
    <row r="224" spans="1:9" ht="14.25" customHeight="1">
      <c r="A224" s="594" t="s">
        <v>123</v>
      </c>
      <c r="B224" s="78" t="s">
        <v>285</v>
      </c>
      <c r="C224" s="171">
        <v>111</v>
      </c>
      <c r="D224" s="171" t="s">
        <v>1074</v>
      </c>
      <c r="E224" s="171">
        <v>21</v>
      </c>
      <c r="F224" s="171">
        <v>28</v>
      </c>
      <c r="G224" s="171" t="s">
        <v>1074</v>
      </c>
      <c r="H224" s="171">
        <v>31</v>
      </c>
      <c r="I224" s="41"/>
    </row>
    <row r="225" spans="1:17" ht="14.25" customHeight="1">
      <c r="A225" s="594"/>
      <c r="B225" s="78" t="s">
        <v>286</v>
      </c>
      <c r="C225" s="171">
        <v>194</v>
      </c>
      <c r="D225" s="171">
        <v>6</v>
      </c>
      <c r="E225" s="171">
        <v>34</v>
      </c>
      <c r="F225" s="171">
        <v>37</v>
      </c>
      <c r="G225" s="171" t="s">
        <v>1074</v>
      </c>
      <c r="H225" s="171">
        <v>74</v>
      </c>
      <c r="I225" s="41"/>
    </row>
    <row r="226" spans="1:17" ht="14.25" customHeight="1">
      <c r="A226" s="594" t="s">
        <v>124</v>
      </c>
      <c r="B226" s="78" t="s">
        <v>285</v>
      </c>
      <c r="C226" s="171">
        <v>773</v>
      </c>
      <c r="D226" s="171">
        <v>22</v>
      </c>
      <c r="E226" s="171">
        <v>90</v>
      </c>
      <c r="F226" s="171">
        <v>109</v>
      </c>
      <c r="G226" s="171">
        <v>157</v>
      </c>
      <c r="H226" s="171">
        <v>347</v>
      </c>
      <c r="I226" s="41"/>
    </row>
    <row r="227" spans="1:17" ht="14.25" customHeight="1">
      <c r="A227" s="594"/>
      <c r="B227" s="78" t="s">
        <v>286</v>
      </c>
      <c r="C227" s="171">
        <v>592</v>
      </c>
      <c r="D227" s="171">
        <v>12</v>
      </c>
      <c r="E227" s="171">
        <v>52</v>
      </c>
      <c r="F227" s="171">
        <v>86</v>
      </c>
      <c r="G227" s="171">
        <v>128</v>
      </c>
      <c r="H227" s="171">
        <v>282</v>
      </c>
      <c r="I227" s="41"/>
      <c r="K227" s="245"/>
      <c r="L227" s="245"/>
      <c r="M227" s="245"/>
      <c r="N227" s="245"/>
      <c r="O227" s="245"/>
      <c r="P227" s="245"/>
      <c r="Q227" s="245"/>
    </row>
    <row r="228" spans="1:17" ht="14.25" customHeight="1">
      <c r="A228" s="594" t="s">
        <v>128</v>
      </c>
      <c r="B228" s="78" t="s">
        <v>285</v>
      </c>
      <c r="C228" s="171">
        <v>857</v>
      </c>
      <c r="D228" s="171">
        <v>35</v>
      </c>
      <c r="E228" s="171">
        <v>47</v>
      </c>
      <c r="F228" s="171">
        <v>88</v>
      </c>
      <c r="G228" s="171">
        <v>120</v>
      </c>
      <c r="H228" s="171">
        <v>221</v>
      </c>
      <c r="I228" s="41"/>
    </row>
    <row r="229" spans="1:17" ht="14.25" customHeight="1">
      <c r="A229" s="594"/>
      <c r="B229" s="78" t="s">
        <v>286</v>
      </c>
      <c r="C229" s="171">
        <v>854</v>
      </c>
      <c r="D229" s="171">
        <v>40</v>
      </c>
      <c r="E229" s="171">
        <v>63</v>
      </c>
      <c r="F229" s="171">
        <v>92</v>
      </c>
      <c r="G229" s="171">
        <v>222</v>
      </c>
      <c r="H229" s="171">
        <v>60</v>
      </c>
      <c r="I229" s="41"/>
    </row>
    <row r="230" spans="1:17" ht="14.25" customHeight="1">
      <c r="A230" s="603" t="s">
        <v>308</v>
      </c>
      <c r="B230" s="78" t="s">
        <v>285</v>
      </c>
      <c r="C230" s="171">
        <v>214</v>
      </c>
      <c r="D230" s="171">
        <v>10</v>
      </c>
      <c r="E230" s="171">
        <v>22</v>
      </c>
      <c r="F230" s="171" t="s">
        <v>1074</v>
      </c>
      <c r="G230" s="171" t="s">
        <v>1074</v>
      </c>
      <c r="H230" s="171" t="s">
        <v>1074</v>
      </c>
      <c r="I230" s="41"/>
    </row>
    <row r="231" spans="1:17" ht="14.25" customHeight="1">
      <c r="A231" s="603"/>
      <c r="B231" s="78" t="s">
        <v>286</v>
      </c>
      <c r="C231" s="171">
        <v>222</v>
      </c>
      <c r="D231" s="171">
        <v>11</v>
      </c>
      <c r="E231" s="171">
        <v>17</v>
      </c>
      <c r="F231" s="171" t="s">
        <v>1074</v>
      </c>
      <c r="G231" s="171" t="s">
        <v>1074</v>
      </c>
      <c r="H231" s="171" t="s">
        <v>1074</v>
      </c>
      <c r="I231" s="41"/>
    </row>
    <row r="232" spans="1:17" ht="14.25" customHeight="1">
      <c r="A232" s="594" t="s">
        <v>130</v>
      </c>
      <c r="B232" s="78" t="s">
        <v>285</v>
      </c>
      <c r="C232" s="171">
        <v>484</v>
      </c>
      <c r="D232" s="171">
        <v>7</v>
      </c>
      <c r="E232" s="171">
        <v>7</v>
      </c>
      <c r="F232" s="171">
        <v>190</v>
      </c>
      <c r="G232" s="171">
        <v>273</v>
      </c>
      <c r="H232" s="171" t="s">
        <v>1074</v>
      </c>
      <c r="I232" s="41"/>
    </row>
    <row r="233" spans="1:17" ht="14.25" customHeight="1">
      <c r="A233" s="594"/>
      <c r="B233" s="78" t="s">
        <v>286</v>
      </c>
      <c r="C233" s="171">
        <v>492</v>
      </c>
      <c r="D233" s="171">
        <v>7</v>
      </c>
      <c r="E233" s="171">
        <v>20</v>
      </c>
      <c r="F233" s="171">
        <v>208</v>
      </c>
      <c r="G233" s="171">
        <v>253</v>
      </c>
      <c r="H233" s="171" t="s">
        <v>1074</v>
      </c>
      <c r="I233" s="41"/>
    </row>
    <row r="234" spans="1:17" ht="14.25" customHeight="1">
      <c r="A234" s="594" t="s">
        <v>249</v>
      </c>
      <c r="B234" s="78" t="s">
        <v>285</v>
      </c>
      <c r="C234" s="171">
        <v>15428</v>
      </c>
      <c r="D234" s="171">
        <v>667</v>
      </c>
      <c r="E234" s="171">
        <v>778</v>
      </c>
      <c r="F234" s="171">
        <v>1026</v>
      </c>
      <c r="G234" s="171">
        <v>1910</v>
      </c>
      <c r="H234" s="171">
        <v>9362</v>
      </c>
      <c r="I234" s="41"/>
    </row>
    <row r="235" spans="1:17" ht="14.25" customHeight="1">
      <c r="A235" s="594"/>
      <c r="B235" s="78" t="s">
        <v>286</v>
      </c>
      <c r="C235" s="171">
        <v>17496</v>
      </c>
      <c r="D235" s="171">
        <v>594</v>
      </c>
      <c r="E235" s="171">
        <v>734</v>
      </c>
      <c r="F235" s="171">
        <v>1079</v>
      </c>
      <c r="G235" s="171">
        <v>2584</v>
      </c>
      <c r="H235" s="171">
        <v>10705</v>
      </c>
      <c r="I235" s="41"/>
    </row>
    <row r="236" spans="1:17" ht="14.25" customHeight="1">
      <c r="A236" s="594" t="s">
        <v>21</v>
      </c>
      <c r="B236" s="78" t="s">
        <v>285</v>
      </c>
      <c r="C236" s="171">
        <v>7583</v>
      </c>
      <c r="D236" s="171">
        <v>263</v>
      </c>
      <c r="E236" s="171">
        <v>532</v>
      </c>
      <c r="F236" s="171">
        <v>964</v>
      </c>
      <c r="G236" s="171">
        <v>1976</v>
      </c>
      <c r="H236" s="171">
        <v>3131</v>
      </c>
      <c r="I236" s="41"/>
    </row>
    <row r="237" spans="1:17" ht="14.25" customHeight="1">
      <c r="A237" s="594"/>
      <c r="B237" s="78" t="s">
        <v>286</v>
      </c>
      <c r="C237" s="171">
        <v>8542</v>
      </c>
      <c r="D237" s="171">
        <v>304</v>
      </c>
      <c r="E237" s="171">
        <v>577</v>
      </c>
      <c r="F237" s="171">
        <v>894</v>
      </c>
      <c r="G237" s="171">
        <v>2804</v>
      </c>
      <c r="H237" s="171">
        <v>2981</v>
      </c>
      <c r="I237" s="41"/>
    </row>
    <row r="238" spans="1:17" ht="14.25" customHeight="1">
      <c r="A238" s="594" t="s">
        <v>248</v>
      </c>
      <c r="B238" s="78" t="s">
        <v>285</v>
      </c>
      <c r="C238" s="171">
        <v>25039</v>
      </c>
      <c r="D238" s="171">
        <v>52</v>
      </c>
      <c r="E238" s="171">
        <v>2233</v>
      </c>
      <c r="F238" s="171">
        <v>3642</v>
      </c>
      <c r="G238" s="171">
        <v>7259</v>
      </c>
      <c r="H238" s="171">
        <v>9597</v>
      </c>
      <c r="I238" s="41"/>
    </row>
    <row r="239" spans="1:17" ht="14.25" customHeight="1">
      <c r="A239" s="594"/>
      <c r="B239" s="78" t="s">
        <v>286</v>
      </c>
      <c r="C239" s="171">
        <v>30871</v>
      </c>
      <c r="D239" s="171">
        <v>50</v>
      </c>
      <c r="E239" s="171">
        <v>2286</v>
      </c>
      <c r="F239" s="171">
        <v>4106</v>
      </c>
      <c r="G239" s="171">
        <v>8984</v>
      </c>
      <c r="H239" s="171">
        <v>10931</v>
      </c>
      <c r="I239" s="41"/>
    </row>
    <row r="240" spans="1:17" ht="14.25" customHeight="1">
      <c r="A240" s="594" t="s">
        <v>138</v>
      </c>
      <c r="B240" s="78" t="s">
        <v>285</v>
      </c>
      <c r="C240" s="171">
        <v>239</v>
      </c>
      <c r="D240" s="171" t="s">
        <v>1074</v>
      </c>
      <c r="E240" s="171">
        <v>30</v>
      </c>
      <c r="F240" s="171">
        <v>43</v>
      </c>
      <c r="G240" s="171">
        <v>87</v>
      </c>
      <c r="H240" s="171">
        <v>56</v>
      </c>
      <c r="I240" s="41"/>
    </row>
    <row r="241" spans="1:9" ht="14.25" customHeight="1">
      <c r="A241" s="594"/>
      <c r="B241" s="78" t="s">
        <v>286</v>
      </c>
      <c r="C241" s="171">
        <v>250</v>
      </c>
      <c r="D241" s="171" t="s">
        <v>1074</v>
      </c>
      <c r="E241" s="171">
        <v>33</v>
      </c>
      <c r="F241" s="171">
        <v>47</v>
      </c>
      <c r="G241" s="171">
        <v>90</v>
      </c>
      <c r="H241" s="171">
        <v>58</v>
      </c>
      <c r="I241" s="41"/>
    </row>
    <row r="242" spans="1:9" ht="14.25" customHeight="1">
      <c r="A242" s="594" t="s">
        <v>139</v>
      </c>
      <c r="B242" s="78" t="s">
        <v>285</v>
      </c>
      <c r="C242" s="171">
        <v>430</v>
      </c>
      <c r="D242" s="171">
        <v>63</v>
      </c>
      <c r="E242" s="171">
        <v>95</v>
      </c>
      <c r="F242" s="171">
        <v>90</v>
      </c>
      <c r="G242" s="171">
        <v>134</v>
      </c>
      <c r="H242" s="171" t="s">
        <v>1074</v>
      </c>
      <c r="I242" s="41"/>
    </row>
    <row r="243" spans="1:9" ht="14.25" customHeight="1">
      <c r="A243" s="594"/>
      <c r="B243" s="78" t="s">
        <v>286</v>
      </c>
      <c r="C243" s="171">
        <v>483</v>
      </c>
      <c r="D243" s="171">
        <v>69</v>
      </c>
      <c r="E243" s="171">
        <v>103</v>
      </c>
      <c r="F243" s="171">
        <v>119</v>
      </c>
      <c r="G243" s="171">
        <v>140</v>
      </c>
      <c r="H243" s="171" t="s">
        <v>1074</v>
      </c>
      <c r="I243" s="41"/>
    </row>
    <row r="244" spans="1:9" ht="14.25" customHeight="1">
      <c r="A244" s="594" t="s">
        <v>310</v>
      </c>
      <c r="B244" s="78" t="s">
        <v>285</v>
      </c>
      <c r="C244" s="171">
        <v>48</v>
      </c>
      <c r="D244" s="171" t="s">
        <v>1074</v>
      </c>
      <c r="E244" s="171">
        <v>24</v>
      </c>
      <c r="F244" s="171" t="s">
        <v>1074</v>
      </c>
      <c r="G244" s="171" t="s">
        <v>1074</v>
      </c>
      <c r="H244" s="171" t="s">
        <v>1074</v>
      </c>
      <c r="I244" s="41"/>
    </row>
    <row r="245" spans="1:9" ht="14.25" customHeight="1">
      <c r="A245" s="594"/>
      <c r="B245" s="78" t="s">
        <v>286</v>
      </c>
      <c r="C245" s="171">
        <v>55</v>
      </c>
      <c r="D245" s="171" t="s">
        <v>1074</v>
      </c>
      <c r="E245" s="171">
        <v>31</v>
      </c>
      <c r="F245" s="171" t="s">
        <v>1074</v>
      </c>
      <c r="G245" s="171" t="s">
        <v>1074</v>
      </c>
      <c r="H245" s="171" t="s">
        <v>1074</v>
      </c>
      <c r="I245" s="41"/>
    </row>
    <row r="246" spans="1:9" ht="14.25" customHeight="1">
      <c r="A246" s="594" t="s">
        <v>143</v>
      </c>
      <c r="B246" s="78" t="s">
        <v>285</v>
      </c>
      <c r="C246" s="171">
        <v>698</v>
      </c>
      <c r="D246" s="171">
        <v>68</v>
      </c>
      <c r="E246" s="171">
        <v>138</v>
      </c>
      <c r="F246" s="171">
        <v>91</v>
      </c>
      <c r="G246" s="171">
        <v>88</v>
      </c>
      <c r="H246" s="171" t="s">
        <v>1074</v>
      </c>
      <c r="I246" s="41"/>
    </row>
    <row r="247" spans="1:9" ht="14.25" customHeight="1">
      <c r="A247" s="594"/>
      <c r="B247" s="78" t="s">
        <v>286</v>
      </c>
      <c r="C247" s="171">
        <v>572</v>
      </c>
      <c r="D247" s="171">
        <v>47</v>
      </c>
      <c r="E247" s="171">
        <v>106</v>
      </c>
      <c r="F247" s="171">
        <v>62</v>
      </c>
      <c r="G247" s="171">
        <v>81</v>
      </c>
      <c r="H247" s="171" t="s">
        <v>1074</v>
      </c>
      <c r="I247" s="41"/>
    </row>
    <row r="248" spans="1:9" ht="14.25" customHeight="1">
      <c r="A248" s="594" t="s">
        <v>315</v>
      </c>
      <c r="B248" s="78" t="s">
        <v>285</v>
      </c>
      <c r="C248" s="171">
        <v>6</v>
      </c>
      <c r="D248" s="171">
        <v>1</v>
      </c>
      <c r="E248" s="171" t="s">
        <v>1074</v>
      </c>
      <c r="F248" s="171" t="s">
        <v>1074</v>
      </c>
      <c r="G248" s="171" t="s">
        <v>1074</v>
      </c>
      <c r="H248" s="171" t="s">
        <v>1074</v>
      </c>
      <c r="I248" s="41"/>
    </row>
    <row r="249" spans="1:9" ht="14.25" customHeight="1">
      <c r="A249" s="594"/>
      <c r="B249" s="78" t="s">
        <v>286</v>
      </c>
      <c r="C249" s="171">
        <v>3</v>
      </c>
      <c r="D249" s="171" t="s">
        <v>1074</v>
      </c>
      <c r="E249" s="171" t="s">
        <v>1074</v>
      </c>
      <c r="F249" s="171" t="s">
        <v>1074</v>
      </c>
      <c r="G249" s="171" t="s">
        <v>1074</v>
      </c>
      <c r="H249" s="171" t="s">
        <v>1074</v>
      </c>
      <c r="I249" s="41"/>
    </row>
    <row r="250" spans="1:9" ht="14.25" customHeight="1">
      <c r="A250" s="594" t="s">
        <v>311</v>
      </c>
      <c r="B250" s="78" t="s">
        <v>285</v>
      </c>
      <c r="C250" s="171">
        <v>22</v>
      </c>
      <c r="D250" s="171">
        <v>2</v>
      </c>
      <c r="E250" s="171">
        <v>3</v>
      </c>
      <c r="F250" s="171" t="s">
        <v>1074</v>
      </c>
      <c r="G250" s="171" t="s">
        <v>1074</v>
      </c>
      <c r="H250" s="171" t="s">
        <v>1074</v>
      </c>
      <c r="I250" s="41"/>
    </row>
    <row r="251" spans="1:9" ht="14.25" customHeight="1">
      <c r="A251" s="594"/>
      <c r="B251" s="78" t="s">
        <v>286</v>
      </c>
      <c r="C251" s="171">
        <v>14</v>
      </c>
      <c r="D251" s="171">
        <v>2</v>
      </c>
      <c r="E251" s="171" t="s">
        <v>1074</v>
      </c>
      <c r="F251" s="171">
        <v>3</v>
      </c>
      <c r="G251" s="171" t="s">
        <v>1074</v>
      </c>
      <c r="H251" s="171" t="s">
        <v>1074</v>
      </c>
      <c r="I251" s="41"/>
    </row>
    <row r="252" spans="1:9" ht="14.25" customHeight="1">
      <c r="A252" s="594" t="s">
        <v>144</v>
      </c>
      <c r="B252" s="78" t="s">
        <v>285</v>
      </c>
      <c r="C252" s="171">
        <v>86</v>
      </c>
      <c r="D252" s="171" t="s">
        <v>1074</v>
      </c>
      <c r="E252" s="171">
        <v>22</v>
      </c>
      <c r="F252" s="171">
        <v>25</v>
      </c>
      <c r="G252" s="171">
        <v>19</v>
      </c>
      <c r="H252" s="171">
        <v>7</v>
      </c>
      <c r="I252" s="41"/>
    </row>
    <row r="253" spans="1:9" ht="14.25" customHeight="1">
      <c r="A253" s="594"/>
      <c r="B253" s="78" t="s">
        <v>286</v>
      </c>
      <c r="C253" s="171">
        <v>92</v>
      </c>
      <c r="D253" s="171" t="s">
        <v>1074</v>
      </c>
      <c r="E253" s="171">
        <v>22</v>
      </c>
      <c r="F253" s="171">
        <v>24</v>
      </c>
      <c r="G253" s="171">
        <v>17</v>
      </c>
      <c r="H253" s="171">
        <v>17</v>
      </c>
      <c r="I253" s="41"/>
    </row>
    <row r="254" spans="1:9" ht="14.25" customHeight="1">
      <c r="A254" s="594" t="s">
        <v>146</v>
      </c>
      <c r="B254" s="78" t="s">
        <v>285</v>
      </c>
      <c r="C254" s="171">
        <v>105</v>
      </c>
      <c r="D254" s="171" t="s">
        <v>1074</v>
      </c>
      <c r="E254" s="171">
        <v>15</v>
      </c>
      <c r="F254" s="171">
        <v>3</v>
      </c>
      <c r="G254" s="171">
        <v>30</v>
      </c>
      <c r="H254" s="171" t="s">
        <v>1074</v>
      </c>
      <c r="I254" s="41"/>
    </row>
    <row r="255" spans="1:9" ht="14.25" customHeight="1">
      <c r="A255" s="594"/>
      <c r="B255" s="78" t="s">
        <v>286</v>
      </c>
      <c r="C255" s="171">
        <v>123</v>
      </c>
      <c r="D255" s="171" t="s">
        <v>1074</v>
      </c>
      <c r="E255" s="171">
        <v>18</v>
      </c>
      <c r="F255" s="171">
        <v>8</v>
      </c>
      <c r="G255" s="171">
        <v>29</v>
      </c>
      <c r="H255" s="171" t="s">
        <v>1074</v>
      </c>
      <c r="I255" s="41"/>
    </row>
    <row r="256" spans="1:9" ht="14.25" customHeight="1">
      <c r="A256" s="594" t="s">
        <v>147</v>
      </c>
      <c r="B256" s="78" t="s">
        <v>285</v>
      </c>
      <c r="C256" s="171">
        <v>85</v>
      </c>
      <c r="D256" s="171">
        <v>7</v>
      </c>
      <c r="E256" s="171">
        <v>14</v>
      </c>
      <c r="F256" s="171" t="s">
        <v>1074</v>
      </c>
      <c r="G256" s="171">
        <v>24</v>
      </c>
      <c r="H256" s="171">
        <v>15</v>
      </c>
      <c r="I256" s="41"/>
    </row>
    <row r="257" spans="1:9" ht="21" customHeight="1">
      <c r="A257" s="594"/>
      <c r="B257" s="78" t="s">
        <v>286</v>
      </c>
      <c r="C257" s="171">
        <v>94</v>
      </c>
      <c r="D257" s="171">
        <v>6</v>
      </c>
      <c r="E257" s="171">
        <v>15</v>
      </c>
      <c r="F257" s="171" t="s">
        <v>1074</v>
      </c>
      <c r="G257" s="171">
        <v>24</v>
      </c>
      <c r="H257" s="171">
        <v>20</v>
      </c>
      <c r="I257" s="41"/>
    </row>
    <row r="258" spans="1:9" ht="14.25" customHeight="1">
      <c r="A258" s="594" t="s">
        <v>151</v>
      </c>
      <c r="B258" s="78" t="s">
        <v>285</v>
      </c>
      <c r="C258" s="171">
        <v>184</v>
      </c>
      <c r="D258" s="171" t="s">
        <v>1074</v>
      </c>
      <c r="E258" s="171">
        <v>56</v>
      </c>
      <c r="F258" s="171" t="s">
        <v>1074</v>
      </c>
      <c r="G258" s="171">
        <v>9</v>
      </c>
      <c r="H258" s="171" t="s">
        <v>1074</v>
      </c>
      <c r="I258" s="41"/>
    </row>
    <row r="259" spans="1:9" ht="14.25" customHeight="1">
      <c r="A259" s="594"/>
      <c r="B259" s="78" t="s">
        <v>286</v>
      </c>
      <c r="C259" s="171">
        <v>214</v>
      </c>
      <c r="D259" s="171" t="s">
        <v>1074</v>
      </c>
      <c r="E259" s="171">
        <v>91</v>
      </c>
      <c r="F259" s="171" t="s">
        <v>1074</v>
      </c>
      <c r="G259" s="171">
        <v>6</v>
      </c>
      <c r="H259" s="171" t="s">
        <v>1074</v>
      </c>
      <c r="I259" s="41"/>
    </row>
    <row r="260" spans="1:9" ht="14.25" customHeight="1">
      <c r="A260" s="594" t="s">
        <v>152</v>
      </c>
      <c r="B260" s="78" t="s">
        <v>285</v>
      </c>
      <c r="C260" s="171">
        <v>18743</v>
      </c>
      <c r="D260" s="171">
        <v>1717</v>
      </c>
      <c r="E260" s="171">
        <v>1884</v>
      </c>
      <c r="F260" s="171">
        <v>5081</v>
      </c>
      <c r="G260" s="171">
        <v>4775</v>
      </c>
      <c r="H260" s="171">
        <v>4667</v>
      </c>
      <c r="I260" s="41"/>
    </row>
    <row r="261" spans="1:9" ht="14.25" customHeight="1">
      <c r="A261" s="594"/>
      <c r="B261" s="78" t="s">
        <v>286</v>
      </c>
      <c r="C261" s="171">
        <v>18064</v>
      </c>
      <c r="D261" s="171">
        <v>2082</v>
      </c>
      <c r="E261" s="171">
        <v>1933</v>
      </c>
      <c r="F261" s="171">
        <v>5163</v>
      </c>
      <c r="G261" s="171">
        <v>4475</v>
      </c>
      <c r="H261" s="171">
        <v>3834</v>
      </c>
      <c r="I261" s="41"/>
    </row>
    <row r="262" spans="1:9" ht="14.25" customHeight="1">
      <c r="A262" s="594" t="s">
        <v>157</v>
      </c>
      <c r="B262" s="78" t="s">
        <v>285</v>
      </c>
      <c r="C262" s="171">
        <v>159</v>
      </c>
      <c r="D262" s="171">
        <v>5</v>
      </c>
      <c r="E262" s="171">
        <v>58</v>
      </c>
      <c r="F262" s="171">
        <v>30</v>
      </c>
      <c r="G262" s="171">
        <v>33</v>
      </c>
      <c r="H262" s="171">
        <v>28</v>
      </c>
      <c r="I262" s="41"/>
    </row>
    <row r="263" spans="1:9" ht="14.25" customHeight="1">
      <c r="A263" s="594"/>
      <c r="B263" s="78" t="s">
        <v>286</v>
      </c>
      <c r="C263" s="171">
        <v>166</v>
      </c>
      <c r="D263" s="171">
        <v>6</v>
      </c>
      <c r="E263" s="171">
        <v>60</v>
      </c>
      <c r="F263" s="171">
        <v>31</v>
      </c>
      <c r="G263" s="171">
        <v>35</v>
      </c>
      <c r="H263" s="171">
        <v>29</v>
      </c>
      <c r="I263" s="41"/>
    </row>
    <row r="264" spans="1:9" ht="14.25" customHeight="1">
      <c r="A264" s="598" t="s">
        <v>1244</v>
      </c>
      <c r="B264" s="78" t="s">
        <v>285</v>
      </c>
      <c r="C264" s="171" t="s">
        <v>1237</v>
      </c>
      <c r="D264" s="171" t="s">
        <v>1237</v>
      </c>
      <c r="E264" s="171" t="s">
        <v>1237</v>
      </c>
      <c r="F264" s="171" t="s">
        <v>1237</v>
      </c>
      <c r="G264" s="171" t="s">
        <v>1237</v>
      </c>
      <c r="H264" s="171" t="s">
        <v>1237</v>
      </c>
    </row>
    <row r="265" spans="1:9" ht="14.25" customHeight="1">
      <c r="A265" s="598"/>
      <c r="B265" s="78" t="s">
        <v>286</v>
      </c>
      <c r="C265" s="171">
        <v>304</v>
      </c>
      <c r="D265" s="171">
        <v>24</v>
      </c>
      <c r="E265" s="171">
        <v>74</v>
      </c>
      <c r="F265" s="171">
        <v>79</v>
      </c>
      <c r="G265" s="171">
        <v>72</v>
      </c>
      <c r="H265" s="171">
        <v>41</v>
      </c>
    </row>
    <row r="266" spans="1:9" ht="14.25" customHeight="1">
      <c r="A266" s="598" t="s">
        <v>313</v>
      </c>
      <c r="B266" s="78" t="s">
        <v>285</v>
      </c>
      <c r="C266" s="51">
        <v>447</v>
      </c>
      <c r="D266" s="171" t="s">
        <v>1074</v>
      </c>
      <c r="E266" s="51">
        <v>159</v>
      </c>
      <c r="F266" s="171" t="s">
        <v>1074</v>
      </c>
      <c r="G266" s="171" t="s">
        <v>1074</v>
      </c>
      <c r="H266" s="171" t="s">
        <v>1074</v>
      </c>
    </row>
    <row r="267" spans="1:9" ht="14.25" customHeight="1">
      <c r="A267" s="598"/>
      <c r="B267" s="78" t="s">
        <v>286</v>
      </c>
      <c r="C267" s="51">
        <v>447</v>
      </c>
      <c r="D267" s="171" t="s">
        <v>1074</v>
      </c>
      <c r="E267" s="51">
        <v>159</v>
      </c>
      <c r="F267" s="171" t="s">
        <v>1074</v>
      </c>
      <c r="G267" s="171" t="s">
        <v>1074</v>
      </c>
      <c r="H267" s="171" t="s">
        <v>1074</v>
      </c>
    </row>
    <row r="268" spans="1:9" ht="14.25" customHeight="1">
      <c r="A268" s="594" t="s">
        <v>314</v>
      </c>
      <c r="B268" s="78" t="s">
        <v>285</v>
      </c>
      <c r="C268" s="171">
        <v>4578</v>
      </c>
      <c r="D268" s="171">
        <v>267</v>
      </c>
      <c r="E268" s="171">
        <v>230</v>
      </c>
      <c r="F268" s="171">
        <v>140</v>
      </c>
      <c r="G268" s="171">
        <v>51</v>
      </c>
      <c r="H268" s="171">
        <v>47</v>
      </c>
      <c r="I268" s="41"/>
    </row>
    <row r="269" spans="1:9" ht="14.25" customHeight="1">
      <c r="A269" s="594"/>
      <c r="B269" s="78" t="s">
        <v>286</v>
      </c>
      <c r="C269" s="171">
        <v>496</v>
      </c>
      <c r="D269" s="171">
        <v>32</v>
      </c>
      <c r="E269" s="171">
        <v>27</v>
      </c>
      <c r="F269" s="171">
        <v>28</v>
      </c>
      <c r="G269" s="171">
        <v>29</v>
      </c>
      <c r="H269" s="171">
        <v>11</v>
      </c>
      <c r="I269" s="41"/>
    </row>
    <row r="270" spans="1:9" ht="14.25" customHeight="1">
      <c r="A270" s="594" t="s">
        <v>24</v>
      </c>
      <c r="B270" s="78" t="s">
        <v>285</v>
      </c>
      <c r="C270" s="171">
        <v>5838</v>
      </c>
      <c r="D270" s="171">
        <v>179</v>
      </c>
      <c r="E270" s="171">
        <v>313</v>
      </c>
      <c r="F270" s="171">
        <v>381</v>
      </c>
      <c r="G270" s="171">
        <v>342</v>
      </c>
      <c r="H270" s="171" t="s">
        <v>1074</v>
      </c>
      <c r="I270" s="41"/>
    </row>
    <row r="271" spans="1:9" ht="14.25" customHeight="1">
      <c r="A271" s="594"/>
      <c r="B271" s="78" t="s">
        <v>286</v>
      </c>
      <c r="C271" s="171">
        <v>10840</v>
      </c>
      <c r="D271" s="171">
        <v>198</v>
      </c>
      <c r="E271" s="171">
        <v>379</v>
      </c>
      <c r="F271" s="171">
        <v>434</v>
      </c>
      <c r="G271" s="171">
        <v>347</v>
      </c>
      <c r="H271" s="171" t="s">
        <v>1074</v>
      </c>
      <c r="I271" s="41"/>
    </row>
    <row r="272" spans="1:9" ht="14.25" customHeight="1">
      <c r="A272" s="594" t="s">
        <v>170</v>
      </c>
      <c r="B272" s="78" t="s">
        <v>285</v>
      </c>
      <c r="C272" s="171">
        <v>907</v>
      </c>
      <c r="D272" s="171">
        <v>30</v>
      </c>
      <c r="E272" s="171">
        <v>115</v>
      </c>
      <c r="F272" s="171">
        <v>260</v>
      </c>
      <c r="G272" s="171">
        <v>280</v>
      </c>
      <c r="H272" s="171">
        <v>210</v>
      </c>
      <c r="I272" s="41"/>
    </row>
    <row r="273" spans="1:9" ht="14.25" customHeight="1">
      <c r="A273" s="594"/>
      <c r="B273" s="78" t="s">
        <v>286</v>
      </c>
      <c r="C273" s="171">
        <v>907</v>
      </c>
      <c r="D273" s="171">
        <v>30</v>
      </c>
      <c r="E273" s="171">
        <v>115</v>
      </c>
      <c r="F273" s="171">
        <v>260</v>
      </c>
      <c r="G273" s="171">
        <v>280</v>
      </c>
      <c r="H273" s="171">
        <v>210</v>
      </c>
      <c r="I273" s="41"/>
    </row>
    <row r="274" spans="1:9" ht="14.25" customHeight="1">
      <c r="A274" s="598" t="s">
        <v>1243</v>
      </c>
      <c r="B274" s="78" t="s">
        <v>285</v>
      </c>
      <c r="C274" s="171" t="s">
        <v>1237</v>
      </c>
      <c r="D274" s="171" t="s">
        <v>1237</v>
      </c>
      <c r="E274" s="171" t="s">
        <v>1237</v>
      </c>
      <c r="F274" s="171" t="s">
        <v>1237</v>
      </c>
      <c r="G274" s="171" t="s">
        <v>1237</v>
      </c>
      <c r="H274" s="171" t="s">
        <v>1237</v>
      </c>
    </row>
    <row r="275" spans="1:9" ht="14.25" customHeight="1">
      <c r="A275" s="598"/>
      <c r="B275" s="78" t="s">
        <v>286</v>
      </c>
      <c r="C275" s="171">
        <v>26</v>
      </c>
      <c r="D275" s="171" t="s">
        <v>1074</v>
      </c>
      <c r="E275" s="171">
        <v>6</v>
      </c>
      <c r="F275" s="171" t="s">
        <v>1074</v>
      </c>
      <c r="G275" s="171" t="s">
        <v>1074</v>
      </c>
      <c r="H275" s="171" t="s">
        <v>1074</v>
      </c>
    </row>
    <row r="276" spans="1:9" ht="14.25" customHeight="1">
      <c r="A276" s="594" t="s">
        <v>171</v>
      </c>
      <c r="B276" s="78" t="s">
        <v>285</v>
      </c>
      <c r="C276" s="171">
        <v>6211</v>
      </c>
      <c r="D276" s="171">
        <v>463</v>
      </c>
      <c r="E276" s="171">
        <v>1291</v>
      </c>
      <c r="F276" s="171">
        <v>1290</v>
      </c>
      <c r="G276" s="171">
        <v>559</v>
      </c>
      <c r="H276" s="171">
        <v>293</v>
      </c>
      <c r="I276" s="41"/>
    </row>
    <row r="277" spans="1:9" ht="14.25" customHeight="1">
      <c r="A277" s="594"/>
      <c r="B277" s="78" t="s">
        <v>286</v>
      </c>
      <c r="C277" s="171">
        <v>6697</v>
      </c>
      <c r="D277" s="171">
        <v>483</v>
      </c>
      <c r="E277" s="171">
        <v>1409</v>
      </c>
      <c r="F277" s="171">
        <v>1363</v>
      </c>
      <c r="G277" s="171">
        <v>549</v>
      </c>
      <c r="H277" s="171">
        <v>315</v>
      </c>
      <c r="I277" s="41"/>
    </row>
    <row r="278" spans="1:9" ht="14.25" customHeight="1">
      <c r="A278" s="594" t="s">
        <v>172</v>
      </c>
      <c r="B278" s="78" t="s">
        <v>285</v>
      </c>
      <c r="C278" s="171">
        <v>1418</v>
      </c>
      <c r="D278" s="171">
        <v>65</v>
      </c>
      <c r="E278" s="171">
        <v>136</v>
      </c>
      <c r="F278" s="171">
        <v>282</v>
      </c>
      <c r="G278" s="171">
        <v>314</v>
      </c>
      <c r="H278" s="171">
        <v>538</v>
      </c>
      <c r="I278" s="41"/>
    </row>
    <row r="279" spans="1:9" ht="14.25" customHeight="1">
      <c r="A279" s="594"/>
      <c r="B279" s="78" t="s">
        <v>286</v>
      </c>
      <c r="C279" s="171">
        <v>1652</v>
      </c>
      <c r="D279" s="171">
        <v>54</v>
      </c>
      <c r="E279" s="171">
        <v>95</v>
      </c>
      <c r="F279" s="171">
        <v>221</v>
      </c>
      <c r="G279" s="171">
        <v>322</v>
      </c>
      <c r="H279" s="171">
        <v>883</v>
      </c>
      <c r="I279" s="41"/>
    </row>
    <row r="280" spans="1:9" ht="14.25" customHeight="1">
      <c r="A280" s="598" t="s">
        <v>1009</v>
      </c>
      <c r="B280" s="78" t="s">
        <v>285</v>
      </c>
      <c r="C280" s="171">
        <v>922</v>
      </c>
      <c r="D280" s="171">
        <v>69</v>
      </c>
      <c r="E280" s="171">
        <v>159</v>
      </c>
      <c r="F280" s="171">
        <v>318</v>
      </c>
      <c r="G280" s="171">
        <v>307</v>
      </c>
      <c r="H280" s="171">
        <v>43</v>
      </c>
    </row>
    <row r="281" spans="1:9" ht="14.25" customHeight="1">
      <c r="A281" s="598"/>
      <c r="B281" s="78" t="s">
        <v>286</v>
      </c>
      <c r="C281" s="171">
        <v>939</v>
      </c>
      <c r="D281" s="171">
        <v>71</v>
      </c>
      <c r="E281" s="171">
        <v>147</v>
      </c>
      <c r="F281" s="171">
        <v>342</v>
      </c>
      <c r="G281" s="171">
        <v>300</v>
      </c>
      <c r="H281" s="171">
        <v>42</v>
      </c>
    </row>
    <row r="282" spans="1:9" ht="14.25" customHeight="1">
      <c r="A282" s="595" t="s">
        <v>228</v>
      </c>
      <c r="B282" s="78" t="s">
        <v>285</v>
      </c>
      <c r="C282" s="171">
        <v>941</v>
      </c>
      <c r="D282" s="171">
        <v>379</v>
      </c>
      <c r="E282" s="171">
        <v>189</v>
      </c>
      <c r="F282" s="171">
        <v>72</v>
      </c>
      <c r="G282" s="171">
        <v>12</v>
      </c>
      <c r="H282" s="171">
        <v>2</v>
      </c>
      <c r="I282" s="41"/>
    </row>
    <row r="283" spans="1:9" ht="14.25" customHeight="1">
      <c r="A283" s="595"/>
      <c r="B283" s="78" t="s">
        <v>286</v>
      </c>
      <c r="C283" s="171">
        <v>1130</v>
      </c>
      <c r="D283" s="171">
        <v>349</v>
      </c>
      <c r="E283" s="171">
        <v>319</v>
      </c>
      <c r="F283" s="171">
        <v>240</v>
      </c>
      <c r="G283" s="171">
        <v>83</v>
      </c>
      <c r="H283" s="171">
        <v>23</v>
      </c>
      <c r="I283" s="41"/>
    </row>
    <row r="284" spans="1:9" ht="14.25" customHeight="1">
      <c r="A284" s="594" t="s">
        <v>173</v>
      </c>
      <c r="B284" s="78" t="s">
        <v>285</v>
      </c>
      <c r="C284" s="171">
        <v>7454</v>
      </c>
      <c r="D284" s="171">
        <v>102</v>
      </c>
      <c r="E284" s="171">
        <v>133</v>
      </c>
      <c r="F284" s="171">
        <v>249</v>
      </c>
      <c r="G284" s="171">
        <v>289</v>
      </c>
      <c r="H284" s="171">
        <v>6614</v>
      </c>
      <c r="I284" s="41"/>
    </row>
    <row r="285" spans="1:9" ht="14.25" customHeight="1">
      <c r="A285" s="594"/>
      <c r="B285" s="78" t="s">
        <v>286</v>
      </c>
      <c r="C285" s="171">
        <v>6852</v>
      </c>
      <c r="D285" s="171">
        <v>90</v>
      </c>
      <c r="E285" s="171">
        <v>160</v>
      </c>
      <c r="F285" s="171">
        <v>224</v>
      </c>
      <c r="G285" s="171">
        <v>282</v>
      </c>
      <c r="H285" s="171">
        <v>6042</v>
      </c>
      <c r="I285" s="41"/>
    </row>
    <row r="286" spans="1:9" ht="14.25" customHeight="1">
      <c r="A286" s="594" t="s">
        <v>25</v>
      </c>
      <c r="B286" s="78" t="s">
        <v>285</v>
      </c>
      <c r="C286" s="171">
        <v>2511</v>
      </c>
      <c r="D286" s="171">
        <v>153</v>
      </c>
      <c r="E286" s="171">
        <v>301</v>
      </c>
      <c r="F286" s="171">
        <v>320</v>
      </c>
      <c r="G286" s="171">
        <v>469</v>
      </c>
      <c r="H286" s="171">
        <v>877</v>
      </c>
      <c r="I286" s="41"/>
    </row>
    <row r="287" spans="1:9" ht="14.25" customHeight="1">
      <c r="A287" s="594"/>
      <c r="B287" s="78" t="s">
        <v>286</v>
      </c>
      <c r="C287" s="171">
        <v>2483</v>
      </c>
      <c r="D287" s="171">
        <v>93</v>
      </c>
      <c r="E287" s="171">
        <v>270</v>
      </c>
      <c r="F287" s="171">
        <v>348</v>
      </c>
      <c r="G287" s="171">
        <v>465</v>
      </c>
      <c r="H287" s="171">
        <v>922</v>
      </c>
      <c r="I287" s="41"/>
    </row>
    <row r="288" spans="1:9" ht="14.25" customHeight="1">
      <c r="A288" s="594" t="s">
        <v>174</v>
      </c>
      <c r="B288" s="78" t="s">
        <v>285</v>
      </c>
      <c r="C288" s="171">
        <v>184</v>
      </c>
      <c r="D288" s="171">
        <v>15</v>
      </c>
      <c r="E288" s="171">
        <v>14</v>
      </c>
      <c r="F288" s="171">
        <v>38</v>
      </c>
      <c r="G288" s="171">
        <v>50</v>
      </c>
      <c r="H288" s="171">
        <v>51</v>
      </c>
      <c r="I288" s="41"/>
    </row>
    <row r="289" spans="1:10" ht="14.25" customHeight="1">
      <c r="A289" s="594"/>
      <c r="B289" s="78" t="s">
        <v>286</v>
      </c>
      <c r="C289" s="171">
        <v>202</v>
      </c>
      <c r="D289" s="171">
        <v>15</v>
      </c>
      <c r="E289" s="171">
        <v>16</v>
      </c>
      <c r="F289" s="171">
        <v>40</v>
      </c>
      <c r="G289" s="171">
        <v>59</v>
      </c>
      <c r="H289" s="171">
        <v>59</v>
      </c>
      <c r="I289" s="41"/>
    </row>
    <row r="290" spans="1:10" ht="14.25" customHeight="1">
      <c r="A290" s="595" t="s">
        <v>254</v>
      </c>
      <c r="B290" s="78" t="s">
        <v>285</v>
      </c>
      <c r="C290" s="171">
        <v>977</v>
      </c>
      <c r="D290" s="171" t="s">
        <v>1074</v>
      </c>
      <c r="E290" s="171">
        <v>98</v>
      </c>
      <c r="F290" s="171">
        <v>236</v>
      </c>
      <c r="G290" s="171">
        <v>379</v>
      </c>
      <c r="H290" s="171">
        <v>90</v>
      </c>
      <c r="I290" s="41"/>
    </row>
    <row r="291" spans="1:10" ht="14.25" customHeight="1">
      <c r="A291" s="595"/>
      <c r="B291" s="78" t="s">
        <v>286</v>
      </c>
      <c r="C291" s="171">
        <v>1076</v>
      </c>
      <c r="D291" s="171" t="s">
        <v>1074</v>
      </c>
      <c r="E291" s="171">
        <v>72</v>
      </c>
      <c r="F291" s="171">
        <v>206</v>
      </c>
      <c r="G291" s="171">
        <v>622</v>
      </c>
      <c r="H291" s="171">
        <v>2</v>
      </c>
      <c r="I291" s="41"/>
    </row>
    <row r="292" spans="1:10" ht="14.25" customHeight="1">
      <c r="A292" s="594" t="s">
        <v>177</v>
      </c>
      <c r="B292" s="78" t="s">
        <v>285</v>
      </c>
      <c r="C292" s="171">
        <v>678</v>
      </c>
      <c r="D292" s="171">
        <v>122</v>
      </c>
      <c r="E292" s="171">
        <v>103</v>
      </c>
      <c r="F292" s="171">
        <v>174</v>
      </c>
      <c r="G292" s="171">
        <v>219</v>
      </c>
      <c r="H292" s="171" t="s">
        <v>1074</v>
      </c>
      <c r="I292" s="41"/>
    </row>
    <row r="293" spans="1:10" ht="14.25" customHeight="1">
      <c r="A293" s="594"/>
      <c r="B293" s="78" t="s">
        <v>286</v>
      </c>
      <c r="C293" s="171">
        <v>712</v>
      </c>
      <c r="D293" s="171">
        <v>118</v>
      </c>
      <c r="E293" s="171">
        <v>102</v>
      </c>
      <c r="F293" s="171">
        <v>190</v>
      </c>
      <c r="G293" s="171">
        <v>230</v>
      </c>
      <c r="H293" s="171" t="s">
        <v>1074</v>
      </c>
      <c r="I293" s="41"/>
    </row>
    <row r="294" spans="1:10" ht="14.25" customHeight="1">
      <c r="A294" s="594" t="s">
        <v>178</v>
      </c>
      <c r="B294" s="78" t="s">
        <v>285</v>
      </c>
      <c r="C294" s="171">
        <v>959</v>
      </c>
      <c r="D294" s="171">
        <v>30</v>
      </c>
      <c r="E294" s="171">
        <v>310</v>
      </c>
      <c r="F294" s="171">
        <v>95</v>
      </c>
      <c r="G294" s="171">
        <v>156</v>
      </c>
      <c r="H294" s="171">
        <v>194</v>
      </c>
      <c r="I294" s="41"/>
    </row>
    <row r="295" spans="1:10" ht="14.25" customHeight="1">
      <c r="A295" s="594"/>
      <c r="B295" s="78" t="s">
        <v>286</v>
      </c>
      <c r="C295" s="171">
        <v>1148</v>
      </c>
      <c r="D295" s="171">
        <v>25</v>
      </c>
      <c r="E295" s="171">
        <v>353</v>
      </c>
      <c r="F295" s="171">
        <v>99</v>
      </c>
      <c r="G295" s="171">
        <v>213</v>
      </c>
      <c r="H295" s="171">
        <v>254</v>
      </c>
      <c r="I295" s="41"/>
    </row>
    <row r="296" spans="1:10" ht="14.25" customHeight="1">
      <c r="A296" s="594" t="s">
        <v>179</v>
      </c>
      <c r="B296" s="78" t="s">
        <v>285</v>
      </c>
      <c r="C296" s="171">
        <v>2374</v>
      </c>
      <c r="D296" s="171">
        <v>166</v>
      </c>
      <c r="E296" s="171">
        <v>601</v>
      </c>
      <c r="F296" s="171">
        <v>416</v>
      </c>
      <c r="G296" s="171">
        <v>235</v>
      </c>
      <c r="H296" s="171">
        <v>186</v>
      </c>
      <c r="I296" s="41"/>
      <c r="J296" s="41"/>
    </row>
    <row r="297" spans="1:10" ht="14.25" customHeight="1">
      <c r="A297" s="594"/>
      <c r="B297" s="78" t="s">
        <v>286</v>
      </c>
      <c r="C297" s="171">
        <v>1862</v>
      </c>
      <c r="D297" s="171">
        <v>103</v>
      </c>
      <c r="E297" s="171">
        <v>475</v>
      </c>
      <c r="F297" s="171">
        <v>343</v>
      </c>
      <c r="G297" s="171">
        <v>182</v>
      </c>
      <c r="H297" s="171">
        <v>190</v>
      </c>
      <c r="I297" s="41"/>
      <c r="J297" s="41"/>
    </row>
    <row r="298" spans="1:10" ht="14.25" customHeight="1">
      <c r="A298" s="594" t="s">
        <v>180</v>
      </c>
      <c r="B298" s="78" t="s">
        <v>285</v>
      </c>
      <c r="C298" s="171">
        <v>901</v>
      </c>
      <c r="D298" s="171">
        <v>66</v>
      </c>
      <c r="E298" s="171">
        <v>115</v>
      </c>
      <c r="F298" s="171">
        <v>209</v>
      </c>
      <c r="G298" s="171">
        <v>462</v>
      </c>
      <c r="H298" s="171" t="s">
        <v>1074</v>
      </c>
      <c r="I298" s="41"/>
      <c r="J298" s="41"/>
    </row>
    <row r="299" spans="1:10" ht="14.25" customHeight="1">
      <c r="A299" s="594"/>
      <c r="B299" s="78" t="s">
        <v>286</v>
      </c>
      <c r="C299" s="171">
        <v>949</v>
      </c>
      <c r="D299" s="171">
        <v>65</v>
      </c>
      <c r="E299" s="171">
        <v>107</v>
      </c>
      <c r="F299" s="171">
        <v>217</v>
      </c>
      <c r="G299" s="171">
        <v>513</v>
      </c>
      <c r="H299" s="171" t="s">
        <v>1074</v>
      </c>
      <c r="I299" s="41"/>
      <c r="J299" s="41"/>
    </row>
    <row r="300" spans="1:10" ht="14.25" customHeight="1">
      <c r="A300" s="594" t="s">
        <v>184</v>
      </c>
      <c r="B300" s="78" t="s">
        <v>285</v>
      </c>
      <c r="C300" s="171">
        <v>845</v>
      </c>
      <c r="D300" s="171">
        <v>14</v>
      </c>
      <c r="E300" s="171">
        <v>67</v>
      </c>
      <c r="F300" s="171" t="s">
        <v>1074</v>
      </c>
      <c r="G300" s="171" t="s">
        <v>1074</v>
      </c>
      <c r="H300" s="171">
        <v>751</v>
      </c>
      <c r="I300" s="41"/>
      <c r="J300" s="41"/>
    </row>
    <row r="301" spans="1:10" ht="14.25" customHeight="1">
      <c r="A301" s="594"/>
      <c r="B301" s="78" t="s">
        <v>286</v>
      </c>
      <c r="C301" s="171">
        <v>1028</v>
      </c>
      <c r="D301" s="171">
        <v>50</v>
      </c>
      <c r="E301" s="171">
        <v>93</v>
      </c>
      <c r="F301" s="171" t="s">
        <v>1074</v>
      </c>
      <c r="G301" s="171" t="s">
        <v>1074</v>
      </c>
      <c r="H301" s="171">
        <v>869</v>
      </c>
      <c r="I301" s="41"/>
      <c r="J301" s="41"/>
    </row>
    <row r="302" spans="1:10" ht="13.5" customHeight="1">
      <c r="A302" s="54"/>
      <c r="B302" s="116"/>
      <c r="C302" s="294"/>
      <c r="D302" s="294"/>
      <c r="E302" s="294"/>
      <c r="F302" s="294"/>
      <c r="G302" s="294"/>
      <c r="H302" s="294"/>
      <c r="I302" s="41"/>
      <c r="J302" s="41"/>
    </row>
    <row r="303" spans="1:10" ht="34.4" customHeight="1">
      <c r="A303" s="562" t="s">
        <v>1245</v>
      </c>
      <c r="B303" s="562"/>
      <c r="C303" s="562"/>
      <c r="D303" s="562"/>
      <c r="E303" s="562"/>
      <c r="F303" s="562"/>
      <c r="G303" s="562"/>
      <c r="H303" s="562"/>
    </row>
    <row r="304" spans="1:10" ht="24.65" customHeight="1">
      <c r="A304" s="561" t="s">
        <v>1246</v>
      </c>
      <c r="B304" s="561"/>
      <c r="C304" s="561"/>
      <c r="D304" s="561"/>
      <c r="E304" s="561"/>
      <c r="F304" s="561"/>
      <c r="G304" s="561"/>
      <c r="H304" s="561"/>
    </row>
  </sheetData>
  <sortState ref="M101:M114">
    <sortCondition ref="M101"/>
  </sortState>
  <mergeCells count="157">
    <mergeCell ref="A278:A279"/>
    <mergeCell ref="A282:A283"/>
    <mergeCell ref="A284:A285"/>
    <mergeCell ref="A286:A287"/>
    <mergeCell ref="A262:A263"/>
    <mergeCell ref="A268:A269"/>
    <mergeCell ref="A270:A271"/>
    <mergeCell ref="A272:A273"/>
    <mergeCell ref="A276:A277"/>
    <mergeCell ref="A280:A281"/>
    <mergeCell ref="A266:A267"/>
    <mergeCell ref="A264:A265"/>
    <mergeCell ref="A274:A275"/>
    <mergeCell ref="A300:A301"/>
    <mergeCell ref="A303:H303"/>
    <mergeCell ref="A304:H304"/>
    <mergeCell ref="A288:A289"/>
    <mergeCell ref="A290:A291"/>
    <mergeCell ref="A292:A293"/>
    <mergeCell ref="A294:A295"/>
    <mergeCell ref="A296:A297"/>
    <mergeCell ref="A298:A299"/>
    <mergeCell ref="A258:A259"/>
    <mergeCell ref="A260:A261"/>
    <mergeCell ref="A240:A241"/>
    <mergeCell ref="A242:A243"/>
    <mergeCell ref="A244:A245"/>
    <mergeCell ref="A246:A247"/>
    <mergeCell ref="A248:A249"/>
    <mergeCell ref="A250:A251"/>
    <mergeCell ref="A228:A229"/>
    <mergeCell ref="A230:A231"/>
    <mergeCell ref="A232:A233"/>
    <mergeCell ref="A234:A235"/>
    <mergeCell ref="A236:A237"/>
    <mergeCell ref="A238:A239"/>
    <mergeCell ref="A252:A253"/>
    <mergeCell ref="A254:A255"/>
    <mergeCell ref="A256:A257"/>
    <mergeCell ref="A216:A217"/>
    <mergeCell ref="A218:A219"/>
    <mergeCell ref="A220:A221"/>
    <mergeCell ref="A222:A223"/>
    <mergeCell ref="A224:A225"/>
    <mergeCell ref="A226:A227"/>
    <mergeCell ref="A196:A197"/>
    <mergeCell ref="A198:A199"/>
    <mergeCell ref="A206:A207"/>
    <mergeCell ref="A208:A209"/>
    <mergeCell ref="A210:A211"/>
    <mergeCell ref="A212:A213"/>
    <mergeCell ref="A200:A201"/>
    <mergeCell ref="A204:A205"/>
    <mergeCell ref="A214:A215"/>
    <mergeCell ref="A186:A187"/>
    <mergeCell ref="A188:A189"/>
    <mergeCell ref="A190:A191"/>
    <mergeCell ref="A192:A193"/>
    <mergeCell ref="A194:A195"/>
    <mergeCell ref="A202:A203"/>
    <mergeCell ref="A174:A175"/>
    <mergeCell ref="A176:A177"/>
    <mergeCell ref="A178:A179"/>
    <mergeCell ref="A180:A181"/>
    <mergeCell ref="A184:A185"/>
    <mergeCell ref="A160:A161"/>
    <mergeCell ref="A164:A165"/>
    <mergeCell ref="A168:A169"/>
    <mergeCell ref="A170:A171"/>
    <mergeCell ref="A172:A173"/>
    <mergeCell ref="A166:A167"/>
    <mergeCell ref="A182:A183"/>
    <mergeCell ref="A149:A150"/>
    <mergeCell ref="A151:A152"/>
    <mergeCell ref="A153:A154"/>
    <mergeCell ref="A155:H155"/>
    <mergeCell ref="A156:A157"/>
    <mergeCell ref="A158:A159"/>
    <mergeCell ref="A162:A163"/>
    <mergeCell ref="A137:A138"/>
    <mergeCell ref="A139:A140"/>
    <mergeCell ref="A141:A142"/>
    <mergeCell ref="A143:A144"/>
    <mergeCell ref="A145:A146"/>
    <mergeCell ref="A147:A148"/>
    <mergeCell ref="A125:A126"/>
    <mergeCell ref="A129:A130"/>
    <mergeCell ref="A131:A132"/>
    <mergeCell ref="A135:A136"/>
    <mergeCell ref="A133:A134"/>
    <mergeCell ref="A113:A114"/>
    <mergeCell ref="A115:A116"/>
    <mergeCell ref="A121:A122"/>
    <mergeCell ref="A123:A124"/>
    <mergeCell ref="A119:A120"/>
    <mergeCell ref="A127:A128"/>
    <mergeCell ref="A101:A102"/>
    <mergeCell ref="A103:A104"/>
    <mergeCell ref="A105:A106"/>
    <mergeCell ref="A107:A108"/>
    <mergeCell ref="A109:A110"/>
    <mergeCell ref="A111:A112"/>
    <mergeCell ref="A117:A118"/>
    <mergeCell ref="A89:A90"/>
    <mergeCell ref="A91:A92"/>
    <mergeCell ref="A93:A94"/>
    <mergeCell ref="A95:A96"/>
    <mergeCell ref="A97:A98"/>
    <mergeCell ref="A99:A100"/>
    <mergeCell ref="A77:A78"/>
    <mergeCell ref="A79:A80"/>
    <mergeCell ref="A81:A82"/>
    <mergeCell ref="A83:A84"/>
    <mergeCell ref="A85:A86"/>
    <mergeCell ref="A87:A88"/>
    <mergeCell ref="A65:A66"/>
    <mergeCell ref="A69:A70"/>
    <mergeCell ref="A71:A72"/>
    <mergeCell ref="A73:A74"/>
    <mergeCell ref="A75:A76"/>
    <mergeCell ref="A67:A68"/>
    <mergeCell ref="A61:A62"/>
    <mergeCell ref="A63:A64"/>
    <mergeCell ref="A45:A46"/>
    <mergeCell ref="A49:A50"/>
    <mergeCell ref="A51:A52"/>
    <mergeCell ref="A53:A54"/>
    <mergeCell ref="A57:A58"/>
    <mergeCell ref="A59:A60"/>
    <mergeCell ref="A31:A32"/>
    <mergeCell ref="A37:A38"/>
    <mergeCell ref="A39:A40"/>
    <mergeCell ref="A41:A42"/>
    <mergeCell ref="A43:A44"/>
    <mergeCell ref="A35:A36"/>
    <mergeCell ref="A33:A34"/>
    <mergeCell ref="A47:A48"/>
    <mergeCell ref="A55:A56"/>
    <mergeCell ref="A1:H1"/>
    <mergeCell ref="A2:H2"/>
    <mergeCell ref="G3:H3"/>
    <mergeCell ref="A4:B5"/>
    <mergeCell ref="C4:C5"/>
    <mergeCell ref="D4:H4"/>
    <mergeCell ref="A19:A20"/>
    <mergeCell ref="A21:A22"/>
    <mergeCell ref="A23:A24"/>
    <mergeCell ref="A13:A14"/>
    <mergeCell ref="A25:A26"/>
    <mergeCell ref="A27:A28"/>
    <mergeCell ref="A29:A30"/>
    <mergeCell ref="A6:H6"/>
    <mergeCell ref="A7:A8"/>
    <mergeCell ref="A9:A10"/>
    <mergeCell ref="A11:A12"/>
    <mergeCell ref="A15:A16"/>
    <mergeCell ref="A17:A18"/>
  </mergeCells>
  <conditionalFormatting sqref="A155:H155 A7:B12 B31:B32 B83:B84 A123:B126 B121:B122 A270:A273 A232:A247 A15:B30 A37:B46 A164:A165 A184:A193 A200:A201 A250:A263 A156:B157 A158:A161 A168:A179 A49:B54 A204:A213 A216:A229 A282:A301 A135:B154 A57:B66 A69:B82 A129:B132 A85:B100 A103:B118 B218:B263 B266:B273 B276:B301 A276:A279">
    <cfRule type="cellIs" dxfId="157" priority="59" operator="equal">
      <formula>0</formula>
    </cfRule>
  </conditionalFormatting>
  <conditionalFormatting sqref="B101:B102">
    <cfRule type="cellIs" dxfId="156" priority="58" operator="equal">
      <formula>0</formula>
    </cfRule>
  </conditionalFormatting>
  <conditionalFormatting sqref="A248:A249">
    <cfRule type="cellIs" dxfId="155" priority="56" operator="equal">
      <formula>0</formula>
    </cfRule>
  </conditionalFormatting>
  <conditionalFormatting sqref="A31:A32">
    <cfRule type="cellIs" dxfId="154" priority="55" operator="equal">
      <formula>0</formula>
    </cfRule>
  </conditionalFormatting>
  <conditionalFormatting sqref="A83:A84">
    <cfRule type="cellIs" dxfId="153" priority="54" operator="equal">
      <formula>0</formula>
    </cfRule>
  </conditionalFormatting>
  <conditionalFormatting sqref="A121:A122">
    <cfRule type="cellIs" dxfId="152" priority="53" operator="equal">
      <formula>0</formula>
    </cfRule>
  </conditionalFormatting>
  <conditionalFormatting sqref="A268:A269">
    <cfRule type="cellIs" dxfId="151" priority="52" operator="equal">
      <formula>0</formula>
    </cfRule>
  </conditionalFormatting>
  <conditionalFormatting sqref="A230:A231">
    <cfRule type="cellIs" dxfId="150" priority="51" operator="equal">
      <formula>0</formula>
    </cfRule>
  </conditionalFormatting>
  <conditionalFormatting sqref="A180:A181">
    <cfRule type="cellIs" dxfId="149" priority="50" operator="equal">
      <formula>0</formula>
    </cfRule>
  </conditionalFormatting>
  <conditionalFormatting sqref="A13:B14">
    <cfRule type="cellIs" dxfId="148" priority="49" operator="equal">
      <formula>0</formula>
    </cfRule>
  </conditionalFormatting>
  <conditionalFormatting sqref="A133:B134">
    <cfRule type="cellIs" dxfId="147" priority="46" operator="equal">
      <formula>0</formula>
    </cfRule>
  </conditionalFormatting>
  <conditionalFormatting sqref="A196:A199">
    <cfRule type="cellIs" dxfId="146" priority="44" operator="equal">
      <formula>0</formula>
    </cfRule>
  </conditionalFormatting>
  <conditionalFormatting sqref="A162:A163">
    <cfRule type="cellIs" dxfId="145" priority="35" operator="equal">
      <formula>0</formula>
    </cfRule>
  </conditionalFormatting>
  <conditionalFormatting sqref="A280:A281">
    <cfRule type="cellIs" dxfId="144" priority="33" operator="equal">
      <formula>0</formula>
    </cfRule>
  </conditionalFormatting>
  <conditionalFormatting sqref="A35:B36">
    <cfRule type="cellIs" dxfId="143" priority="31" operator="equal">
      <formula>0</formula>
    </cfRule>
  </conditionalFormatting>
  <conditionalFormatting sqref="A119:B120">
    <cfRule type="cellIs" dxfId="142" priority="30" operator="equal">
      <formula>0</formula>
    </cfRule>
  </conditionalFormatting>
  <conditionalFormatting sqref="A266:A267">
    <cfRule type="cellIs" dxfId="141" priority="29" operator="equal">
      <formula>0</formula>
    </cfRule>
  </conditionalFormatting>
  <conditionalFormatting sqref="B158:B165 B184:B193 B168:B181 B196:B201 B204:B213 B216:B217">
    <cfRule type="cellIs" dxfId="140" priority="27" operator="equal">
      <formula>0</formula>
    </cfRule>
  </conditionalFormatting>
  <conditionalFormatting sqref="A166:B167">
    <cfRule type="cellIs" dxfId="139" priority="23" operator="equal">
      <formula>0</formula>
    </cfRule>
  </conditionalFormatting>
  <conditionalFormatting sqref="A67:A68">
    <cfRule type="cellIs" dxfId="138" priority="22" operator="equal">
      <formula>0</formula>
    </cfRule>
  </conditionalFormatting>
  <conditionalFormatting sqref="B67:B68">
    <cfRule type="cellIs" dxfId="137" priority="21" operator="equal">
      <formula>0</formula>
    </cfRule>
  </conditionalFormatting>
  <conditionalFormatting sqref="A33:B34">
    <cfRule type="cellIs" dxfId="136" priority="19" operator="equal">
      <formula>0</formula>
    </cfRule>
  </conditionalFormatting>
  <conditionalFormatting sqref="A47:B48">
    <cfRule type="cellIs" dxfId="135" priority="18" operator="equal">
      <formula>0</formula>
    </cfRule>
  </conditionalFormatting>
  <conditionalFormatting sqref="A55:B56">
    <cfRule type="cellIs" dxfId="134" priority="17" operator="equal">
      <formula>0</formula>
    </cfRule>
  </conditionalFormatting>
  <conditionalFormatting sqref="A182:B183">
    <cfRule type="cellIs" dxfId="133" priority="16" operator="equal">
      <formula>0</formula>
    </cfRule>
  </conditionalFormatting>
  <conditionalFormatting sqref="B194:B195">
    <cfRule type="cellIs" dxfId="132" priority="15" operator="equal">
      <formula>0</formula>
    </cfRule>
  </conditionalFormatting>
  <conditionalFormatting sqref="A202:B203">
    <cfRule type="cellIs" dxfId="131" priority="14" operator="equal">
      <formula>0</formula>
    </cfRule>
  </conditionalFormatting>
  <conditionalFormatting sqref="A214:A215">
    <cfRule type="cellIs" dxfId="130" priority="13" operator="equal">
      <formula>0</formula>
    </cfRule>
  </conditionalFormatting>
  <conditionalFormatting sqref="B214:B215">
    <cfRule type="cellIs" dxfId="129" priority="12" operator="equal">
      <formula>0</formula>
    </cfRule>
  </conditionalFormatting>
  <conditionalFormatting sqref="A194:A195">
    <cfRule type="cellIs" dxfId="128" priority="11" operator="equal">
      <formula>0</formula>
    </cfRule>
  </conditionalFormatting>
  <conditionalFormatting sqref="A127:B128">
    <cfRule type="cellIs" dxfId="127" priority="10" operator="equal">
      <formula>0</formula>
    </cfRule>
  </conditionalFormatting>
  <conditionalFormatting sqref="A117:B118">
    <cfRule type="cellIs" dxfId="126" priority="8" operator="equal">
      <formula>0</formula>
    </cfRule>
  </conditionalFormatting>
  <conditionalFormatting sqref="A264:B265">
    <cfRule type="cellIs" dxfId="125" priority="3" operator="equal">
      <formula>0</formula>
    </cfRule>
  </conditionalFormatting>
  <conditionalFormatting sqref="A264:B265">
    <cfRule type="cellIs" dxfId="124" priority="2" operator="equal">
      <formula>0</formula>
    </cfRule>
  </conditionalFormatting>
  <conditionalFormatting sqref="A274:B275">
    <cfRule type="cellIs" dxfId="123" priority="1" operator="equal">
      <formula>0</formula>
    </cfRule>
  </conditionalFormatting>
  <hyperlinks>
    <hyperlink ref="G3" location="'Spis tablic'!A4" display="Powrót do spisu treści" xr:uid="{00000000-0004-0000-1900-000000000000}"/>
    <hyperlink ref="G3:H3" location="'Spis tablic  List of tables'!A53" display="'Spis tablic  List of tables'!A53" xr:uid="{00000000-0004-0000-1900-000001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7"/>
  <dimension ref="A1:H24"/>
  <sheetViews>
    <sheetView zoomScaleNormal="100" workbookViewId="0">
      <pane xSplit="2" ySplit="5" topLeftCell="C6" activePane="bottomRight" state="frozen"/>
      <selection activeCell="G12" sqref="G12"/>
      <selection pane="topRight" activeCell="G12" sqref="G12"/>
      <selection pane="bottomLeft" activeCell="G12" sqref="G12"/>
      <selection pane="bottomRight" activeCell="E3" sqref="E3:F3"/>
    </sheetView>
  </sheetViews>
  <sheetFormatPr defaultColWidth="9.1796875" defaultRowHeight="14.5"/>
  <cols>
    <col min="1" max="1" width="19.453125" style="50" customWidth="1"/>
    <col min="2" max="2" width="5.1796875" style="50" customWidth="1"/>
    <col min="3" max="6" width="13.453125" style="50" customWidth="1"/>
    <col min="7" max="16384" width="9.1796875" style="50"/>
  </cols>
  <sheetData>
    <row r="1" spans="1:8" s="39" customFormat="1" ht="30" customHeight="1">
      <c r="A1" s="545" t="s">
        <v>980</v>
      </c>
      <c r="B1" s="545"/>
      <c r="C1" s="545"/>
      <c r="D1" s="545"/>
      <c r="E1" s="545"/>
      <c r="F1" s="545"/>
    </row>
    <row r="2" spans="1:8" s="39" customFormat="1" ht="14.25" customHeight="1">
      <c r="A2" s="563" t="s">
        <v>330</v>
      </c>
      <c r="B2" s="563"/>
      <c r="C2" s="563"/>
      <c r="D2" s="563"/>
      <c r="E2" s="563"/>
      <c r="F2" s="563"/>
    </row>
    <row r="3" spans="1:8" s="39" customFormat="1" ht="26.5" customHeight="1">
      <c r="A3" s="74"/>
      <c r="B3" s="74"/>
      <c r="C3" s="74"/>
      <c r="D3" s="74"/>
      <c r="E3" s="537" t="s">
        <v>5</v>
      </c>
      <c r="F3" s="547"/>
    </row>
    <row r="4" spans="1:8" s="75" customFormat="1" ht="28.5" customHeight="1">
      <c r="A4" s="584" t="s">
        <v>316</v>
      </c>
      <c r="B4" s="548"/>
      <c r="C4" s="607">
        <v>2023</v>
      </c>
      <c r="D4" s="608"/>
      <c r="E4" s="543">
        <v>2024</v>
      </c>
      <c r="F4" s="544"/>
    </row>
    <row r="5" spans="1:8" s="41" customFormat="1" ht="55.5" customHeight="1">
      <c r="A5" s="591"/>
      <c r="B5" s="550"/>
      <c r="C5" s="44" t="s">
        <v>80</v>
      </c>
      <c r="D5" s="44" t="s">
        <v>243</v>
      </c>
      <c r="E5" s="44" t="s">
        <v>80</v>
      </c>
      <c r="F5" s="45" t="s">
        <v>243</v>
      </c>
      <c r="H5" s="48"/>
    </row>
    <row r="6" spans="1:8" s="41" customFormat="1" ht="14.25" customHeight="1">
      <c r="A6" s="609" t="s">
        <v>317</v>
      </c>
      <c r="B6" s="115" t="s">
        <v>285</v>
      </c>
      <c r="C6" s="180">
        <v>41078</v>
      </c>
      <c r="D6" s="180">
        <f>445+8818</f>
        <v>9263</v>
      </c>
      <c r="E6" s="180">
        <v>35596</v>
      </c>
      <c r="F6" s="181">
        <f>455+8381</f>
        <v>8836</v>
      </c>
      <c r="G6" s="247"/>
      <c r="H6" s="247"/>
    </row>
    <row r="7" spans="1:8" s="41" customFormat="1" ht="14.25" customHeight="1">
      <c r="A7" s="593"/>
      <c r="B7" s="115" t="s">
        <v>286</v>
      </c>
      <c r="C7" s="204">
        <v>1788</v>
      </c>
      <c r="D7" s="204">
        <v>445</v>
      </c>
      <c r="E7" s="204">
        <v>1827</v>
      </c>
      <c r="F7" s="205">
        <v>455</v>
      </c>
      <c r="G7" s="247"/>
      <c r="H7" s="247"/>
    </row>
    <row r="8" spans="1:8" s="41" customFormat="1" ht="14.25" customHeight="1">
      <c r="A8" s="594" t="s">
        <v>319</v>
      </c>
      <c r="B8" s="115" t="s">
        <v>285</v>
      </c>
      <c r="C8" s="204">
        <f>4188+4642</f>
        <v>8830</v>
      </c>
      <c r="D8" s="204">
        <f>49+1015+42+970</f>
        <v>2076</v>
      </c>
      <c r="E8" s="204">
        <f>3717+4369</f>
        <v>8086</v>
      </c>
      <c r="F8" s="205">
        <f>43+951+49+959</f>
        <v>2002</v>
      </c>
    </row>
    <row r="9" spans="1:8" s="41" customFormat="1" ht="14.25" customHeight="1">
      <c r="A9" s="594"/>
      <c r="B9" s="115" t="s">
        <v>286</v>
      </c>
      <c r="C9" s="204">
        <f>181+187</f>
        <v>368</v>
      </c>
      <c r="D9" s="204">
        <f>49+42</f>
        <v>91</v>
      </c>
      <c r="E9" s="204">
        <f>187+203</f>
        <v>390</v>
      </c>
      <c r="F9" s="205">
        <f>43+49</f>
        <v>92</v>
      </c>
    </row>
    <row r="10" spans="1:8" s="41" customFormat="1" ht="14.25" customHeight="1">
      <c r="A10" s="594" t="s">
        <v>321</v>
      </c>
      <c r="B10" s="115" t="s">
        <v>285</v>
      </c>
      <c r="C10" s="204">
        <f>1170+3788+1895</f>
        <v>6853</v>
      </c>
      <c r="D10" s="204">
        <f>15+205+55+737+6+425</f>
        <v>1443</v>
      </c>
      <c r="E10" s="204">
        <f>1033+3284+1683</f>
        <v>6000</v>
      </c>
      <c r="F10" s="205">
        <f>16+209+53+697+10+429</f>
        <v>1414</v>
      </c>
    </row>
    <row r="11" spans="1:8" s="41" customFormat="1" ht="14.25" customHeight="1">
      <c r="A11" s="594"/>
      <c r="B11" s="115" t="s">
        <v>286</v>
      </c>
      <c r="C11" s="204">
        <f>49+216+81</f>
        <v>346</v>
      </c>
      <c r="D11" s="204">
        <f>15+55+6</f>
        <v>76</v>
      </c>
      <c r="E11" s="204">
        <f>53+218+65</f>
        <v>336</v>
      </c>
      <c r="F11" s="205">
        <f>16+53+10</f>
        <v>79</v>
      </c>
    </row>
    <row r="12" spans="1:8" s="41" customFormat="1" ht="14.25" customHeight="1">
      <c r="A12" s="594" t="s">
        <v>322</v>
      </c>
      <c r="B12" s="115" t="s">
        <v>285</v>
      </c>
      <c r="C12" s="204">
        <f>3844+1121</f>
        <v>4965</v>
      </c>
      <c r="D12" s="204">
        <f>56+905+15+214</f>
        <v>1190</v>
      </c>
      <c r="E12" s="204">
        <f>3046+943</f>
        <v>3989</v>
      </c>
      <c r="F12" s="205">
        <f>55+785+15+183</f>
        <v>1038</v>
      </c>
    </row>
    <row r="13" spans="1:8" s="41" customFormat="1" ht="14.25" customHeight="1">
      <c r="A13" s="594"/>
      <c r="B13" s="115" t="s">
        <v>286</v>
      </c>
      <c r="C13" s="204">
        <f>180+44</f>
        <v>224</v>
      </c>
      <c r="D13" s="204">
        <f>56+15</f>
        <v>71</v>
      </c>
      <c r="E13" s="204">
        <f>166+48</f>
        <v>214</v>
      </c>
      <c r="F13" s="205">
        <f>55+15</f>
        <v>70</v>
      </c>
    </row>
    <row r="14" spans="1:8" s="41" customFormat="1" ht="14.25" customHeight="1">
      <c r="A14" s="594" t="s">
        <v>323</v>
      </c>
      <c r="B14" s="115" t="s">
        <v>285</v>
      </c>
      <c r="C14" s="204">
        <f>2221+2522+1778</f>
        <v>6521</v>
      </c>
      <c r="D14" s="204">
        <f>17+539+31+578+11+377</f>
        <v>1553</v>
      </c>
      <c r="E14" s="204">
        <f>1946+2125+1405</f>
        <v>5476</v>
      </c>
      <c r="F14" s="205">
        <f>17+524+32+557+12+336</f>
        <v>1478</v>
      </c>
    </row>
    <row r="15" spans="1:8" s="41" customFormat="1" ht="14.25" customHeight="1">
      <c r="A15" s="594"/>
      <c r="B15" s="115" t="s">
        <v>286</v>
      </c>
      <c r="C15" s="204">
        <f>99+85+47</f>
        <v>231</v>
      </c>
      <c r="D15" s="204">
        <f>17+31+11</f>
        <v>59</v>
      </c>
      <c r="E15" s="204">
        <f>88+94+55</f>
        <v>237</v>
      </c>
      <c r="F15" s="205">
        <f>17+32+12</f>
        <v>61</v>
      </c>
    </row>
    <row r="16" spans="1:8" s="41" customFormat="1" ht="14.25" customHeight="1">
      <c r="A16" s="594" t="s">
        <v>318</v>
      </c>
      <c r="B16" s="115" t="s">
        <v>285</v>
      </c>
      <c r="C16" s="204">
        <f>2169+939</f>
        <v>3108</v>
      </c>
      <c r="D16" s="204">
        <f>16+432+1+198</f>
        <v>647</v>
      </c>
      <c r="E16" s="204">
        <f>1816+853</f>
        <v>2669</v>
      </c>
      <c r="F16" s="205">
        <f>19+399+3+203</f>
        <v>624</v>
      </c>
    </row>
    <row r="17" spans="1:8" s="41" customFormat="1" ht="14.25" customHeight="1">
      <c r="A17" s="594"/>
      <c r="B17" s="115" t="s">
        <v>286</v>
      </c>
      <c r="C17" s="204">
        <f>71+28</f>
        <v>99</v>
      </c>
      <c r="D17" s="204">
        <f>16+1</f>
        <v>17</v>
      </c>
      <c r="E17" s="204">
        <f>83+28</f>
        <v>111</v>
      </c>
      <c r="F17" s="205">
        <f>19+3</f>
        <v>22</v>
      </c>
    </row>
    <row r="18" spans="1:8" s="41" customFormat="1" ht="14.25" customHeight="1">
      <c r="A18" s="594" t="s">
        <v>320</v>
      </c>
      <c r="B18" s="115" t="s">
        <v>285</v>
      </c>
      <c r="C18" s="204">
        <f>1854+2640+1165</f>
        <v>5659</v>
      </c>
      <c r="D18" s="204">
        <f>7+394+23+491+5+284</f>
        <v>1204</v>
      </c>
      <c r="E18" s="204">
        <f>1593+2366+1052</f>
        <v>5011</v>
      </c>
      <c r="F18" s="205">
        <f>6+370+24+505+6+271</f>
        <v>1182</v>
      </c>
    </row>
    <row r="19" spans="1:8" s="41" customFormat="1" ht="14.25" customHeight="1">
      <c r="A19" s="594"/>
      <c r="B19" s="115" t="s">
        <v>286</v>
      </c>
      <c r="C19" s="204">
        <f>52+129+23</f>
        <v>204</v>
      </c>
      <c r="D19" s="204">
        <f>7+23+5</f>
        <v>35</v>
      </c>
      <c r="E19" s="204">
        <f>51+130+26</f>
        <v>207</v>
      </c>
      <c r="F19" s="205">
        <f>6+24+6</f>
        <v>36</v>
      </c>
    </row>
    <row r="20" spans="1:8" s="41" customFormat="1" ht="14.25" customHeight="1">
      <c r="A20" s="595" t="s">
        <v>42</v>
      </c>
      <c r="B20" s="115" t="s">
        <v>285</v>
      </c>
      <c r="C20" s="204">
        <v>5142</v>
      </c>
      <c r="D20" s="204">
        <f>96+1054</f>
        <v>1150</v>
      </c>
      <c r="E20" s="204">
        <v>4365</v>
      </c>
      <c r="F20" s="205">
        <f>95+1003</f>
        <v>1098</v>
      </c>
      <c r="G20" s="117"/>
      <c r="H20" s="117"/>
    </row>
    <row r="21" spans="1:8" s="41" customFormat="1" ht="21" customHeight="1">
      <c r="A21" s="595"/>
      <c r="B21" s="115" t="s">
        <v>286</v>
      </c>
      <c r="C21" s="204">
        <v>316</v>
      </c>
      <c r="D21" s="204">
        <v>96</v>
      </c>
      <c r="E21" s="204">
        <v>332</v>
      </c>
      <c r="F21" s="205">
        <v>95</v>
      </c>
      <c r="G21" s="117"/>
      <c r="H21" s="117"/>
    </row>
    <row r="22" spans="1:8" s="41" customFormat="1" ht="14.25" customHeight="1">
      <c r="A22" s="54"/>
      <c r="B22" s="116"/>
      <c r="C22" s="117"/>
      <c r="D22" s="117"/>
      <c r="E22" s="117"/>
      <c r="F22" s="117"/>
    </row>
    <row r="23" spans="1:8" ht="21.65" customHeight="1">
      <c r="A23" s="562" t="s">
        <v>324</v>
      </c>
      <c r="B23" s="562"/>
      <c r="C23" s="562"/>
      <c r="D23" s="562"/>
      <c r="E23" s="562"/>
      <c r="F23" s="562"/>
    </row>
    <row r="24" spans="1:8" ht="13.75" customHeight="1">
      <c r="A24" s="561" t="s">
        <v>325</v>
      </c>
      <c r="B24" s="561"/>
      <c r="C24" s="561"/>
      <c r="D24" s="561"/>
      <c r="E24" s="561"/>
      <c r="F24" s="561"/>
    </row>
  </sheetData>
  <mergeCells count="16">
    <mergeCell ref="A12:A13"/>
    <mergeCell ref="A14:A15"/>
    <mergeCell ref="A23:F23"/>
    <mergeCell ref="A24:F24"/>
    <mergeCell ref="A6:A7"/>
    <mergeCell ref="A16:A17"/>
    <mergeCell ref="A20:A21"/>
    <mergeCell ref="A8:A9"/>
    <mergeCell ref="A18:A19"/>
    <mergeCell ref="A10:A11"/>
    <mergeCell ref="A1:F1"/>
    <mergeCell ref="A2:F2"/>
    <mergeCell ref="E3:F3"/>
    <mergeCell ref="A4:B5"/>
    <mergeCell ref="C4:D4"/>
    <mergeCell ref="E4:F4"/>
  </mergeCells>
  <hyperlinks>
    <hyperlink ref="E3" location="'Spis tablic'!A4" display="Powrót do spisu treści" xr:uid="{00000000-0004-0000-1A00-000000000000}"/>
    <hyperlink ref="E3:F3" location="'Spis tablic  List of tables'!A55" display="'Spis tablic  List of tables'!A55" xr:uid="{00000000-0004-0000-1A00-000001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8"/>
  <dimension ref="A1:H42"/>
  <sheetViews>
    <sheetView zoomScaleNormal="100" workbookViewId="0">
      <pane xSplit="2" ySplit="5" topLeftCell="C6" activePane="bottomRight" state="frozen"/>
      <selection activeCell="G12" sqref="G12"/>
      <selection pane="topRight" activeCell="G12" sqref="G12"/>
      <selection pane="bottomLeft" activeCell="G12" sqref="G12"/>
      <selection pane="bottomRight" activeCell="E3" sqref="E3:F3"/>
    </sheetView>
  </sheetViews>
  <sheetFormatPr defaultColWidth="9.1796875" defaultRowHeight="14.5"/>
  <cols>
    <col min="1" max="1" width="23.54296875" style="50" customWidth="1"/>
    <col min="2" max="2" width="4.54296875" style="50" customWidth="1"/>
    <col min="3" max="6" width="13.81640625" style="50" customWidth="1"/>
    <col min="7" max="7" width="11.81640625" style="50" customWidth="1"/>
    <col min="8" max="8" width="11" style="50" customWidth="1"/>
    <col min="9" max="9" width="10.453125" style="50" customWidth="1"/>
    <col min="10" max="16384" width="9.1796875" style="50"/>
  </cols>
  <sheetData>
    <row r="1" spans="1:8" s="39" customFormat="1" ht="27.65" customHeight="1">
      <c r="A1" s="574" t="s">
        <v>981</v>
      </c>
      <c r="B1" s="574"/>
      <c r="C1" s="574"/>
      <c r="D1" s="574"/>
      <c r="E1" s="574"/>
      <c r="F1" s="574"/>
    </row>
    <row r="2" spans="1:8" s="39" customFormat="1" ht="12.5">
      <c r="A2" s="556" t="s">
        <v>331</v>
      </c>
      <c r="B2" s="556"/>
      <c r="C2" s="556"/>
      <c r="D2" s="556"/>
      <c r="E2" s="556"/>
      <c r="F2" s="556"/>
    </row>
    <row r="3" spans="1:8" s="39" customFormat="1" ht="27" customHeight="1">
      <c r="B3" s="49"/>
      <c r="E3" s="537" t="s">
        <v>5</v>
      </c>
      <c r="F3" s="547"/>
    </row>
    <row r="4" spans="1:8">
      <c r="A4" s="584" t="s">
        <v>316</v>
      </c>
      <c r="B4" s="548"/>
      <c r="C4" s="607">
        <v>2023</v>
      </c>
      <c r="D4" s="608"/>
      <c r="E4" s="543">
        <v>2024</v>
      </c>
      <c r="F4" s="544"/>
    </row>
    <row r="5" spans="1:8" ht="74.25" customHeight="1">
      <c r="A5" s="591"/>
      <c r="B5" s="550"/>
      <c r="C5" s="44" t="s">
        <v>80</v>
      </c>
      <c r="D5" s="44" t="s">
        <v>243</v>
      </c>
      <c r="E5" s="44" t="s">
        <v>80</v>
      </c>
      <c r="F5" s="45" t="s">
        <v>243</v>
      </c>
      <c r="H5" s="48"/>
    </row>
    <row r="6" spans="1:8" ht="14.25" customHeight="1">
      <c r="A6" s="609" t="s">
        <v>326</v>
      </c>
      <c r="B6" s="115" t="s">
        <v>285</v>
      </c>
      <c r="C6" s="178">
        <v>41078</v>
      </c>
      <c r="D6" s="178">
        <f>445+8818</f>
        <v>9263</v>
      </c>
      <c r="E6" s="232">
        <v>35596</v>
      </c>
      <c r="F6" s="233">
        <f>455+8381</f>
        <v>8836</v>
      </c>
      <c r="G6" s="245"/>
      <c r="H6" s="245"/>
    </row>
    <row r="7" spans="1:8" ht="14.25" customHeight="1">
      <c r="A7" s="593"/>
      <c r="B7" s="52" t="s">
        <v>286</v>
      </c>
      <c r="C7" s="170">
        <v>1788</v>
      </c>
      <c r="D7" s="170">
        <v>445</v>
      </c>
      <c r="E7" s="222">
        <v>1827</v>
      </c>
      <c r="F7" s="206">
        <v>455</v>
      </c>
      <c r="G7" s="245"/>
      <c r="H7" s="245"/>
    </row>
    <row r="8" spans="1:8" ht="14.25" customHeight="1">
      <c r="A8" s="594" t="s">
        <v>49</v>
      </c>
      <c r="B8" s="115" t="s">
        <v>285</v>
      </c>
      <c r="C8" s="170">
        <v>3844</v>
      </c>
      <c r="D8" s="170">
        <f>56+905</f>
        <v>961</v>
      </c>
      <c r="E8" s="170">
        <v>3046</v>
      </c>
      <c r="F8" s="171">
        <f>55+785</f>
        <v>840</v>
      </c>
    </row>
    <row r="9" spans="1:8" ht="14.25" customHeight="1">
      <c r="A9" s="594"/>
      <c r="B9" s="115" t="s">
        <v>286</v>
      </c>
      <c r="C9" s="170">
        <v>180</v>
      </c>
      <c r="D9" s="170">
        <v>56</v>
      </c>
      <c r="E9" s="170">
        <v>166</v>
      </c>
      <c r="F9" s="171">
        <v>55</v>
      </c>
    </row>
    <row r="10" spans="1:8" ht="14.25" customHeight="1">
      <c r="A10" s="594" t="s">
        <v>50</v>
      </c>
      <c r="B10" s="115" t="s">
        <v>285</v>
      </c>
      <c r="C10" s="170">
        <v>2221</v>
      </c>
      <c r="D10" s="170">
        <f>17+539</f>
        <v>556</v>
      </c>
      <c r="E10" s="170">
        <v>1946</v>
      </c>
      <c r="F10" s="171">
        <f>17+524</f>
        <v>541</v>
      </c>
    </row>
    <row r="11" spans="1:8" ht="14.25" customHeight="1">
      <c r="A11" s="594"/>
      <c r="B11" s="115" t="s">
        <v>286</v>
      </c>
      <c r="C11" s="170">
        <v>99</v>
      </c>
      <c r="D11" s="170">
        <v>17</v>
      </c>
      <c r="E11" s="170">
        <v>88</v>
      </c>
      <c r="F11" s="171">
        <v>17</v>
      </c>
    </row>
    <row r="12" spans="1:8" ht="14.25" customHeight="1">
      <c r="A12" s="594" t="s">
        <v>51</v>
      </c>
      <c r="B12" s="115" t="s">
        <v>285</v>
      </c>
      <c r="C12" s="170">
        <v>1854</v>
      </c>
      <c r="D12" s="170">
        <f>7+394</f>
        <v>401</v>
      </c>
      <c r="E12" s="170">
        <v>1593</v>
      </c>
      <c r="F12" s="171">
        <f>6+370</f>
        <v>376</v>
      </c>
    </row>
    <row r="13" spans="1:8" ht="14.25" customHeight="1">
      <c r="A13" s="594"/>
      <c r="B13" s="115" t="s">
        <v>286</v>
      </c>
      <c r="C13" s="170">
        <v>52</v>
      </c>
      <c r="D13" s="170">
        <v>7</v>
      </c>
      <c r="E13" s="170">
        <v>51</v>
      </c>
      <c r="F13" s="171">
        <v>6</v>
      </c>
    </row>
    <row r="14" spans="1:8" ht="14.25" customHeight="1">
      <c r="A14" s="594" t="s">
        <v>52</v>
      </c>
      <c r="B14" s="115" t="s">
        <v>285</v>
      </c>
      <c r="C14" s="170">
        <v>1170</v>
      </c>
      <c r="D14" s="170">
        <f>15+205</f>
        <v>220</v>
      </c>
      <c r="E14" s="170">
        <v>1033</v>
      </c>
      <c r="F14" s="171">
        <f>16+209</f>
        <v>225</v>
      </c>
    </row>
    <row r="15" spans="1:8" ht="14.25" customHeight="1">
      <c r="A15" s="594"/>
      <c r="B15" s="115" t="s">
        <v>286</v>
      </c>
      <c r="C15" s="170">
        <v>49</v>
      </c>
      <c r="D15" s="170">
        <v>15</v>
      </c>
      <c r="E15" s="170">
        <v>53</v>
      </c>
      <c r="F15" s="171">
        <v>16</v>
      </c>
    </row>
    <row r="16" spans="1:8" ht="14.25" customHeight="1">
      <c r="A16" s="594" t="s">
        <v>53</v>
      </c>
      <c r="B16" s="115" t="s">
        <v>285</v>
      </c>
      <c r="C16" s="170">
        <v>2169</v>
      </c>
      <c r="D16" s="170">
        <f>16+432</f>
        <v>448</v>
      </c>
      <c r="E16" s="170">
        <v>1816</v>
      </c>
      <c r="F16" s="171">
        <f>19+399</f>
        <v>418</v>
      </c>
    </row>
    <row r="17" spans="1:6" ht="14.25" customHeight="1">
      <c r="A17" s="594"/>
      <c r="B17" s="115" t="s">
        <v>286</v>
      </c>
      <c r="C17" s="170">
        <v>71</v>
      </c>
      <c r="D17" s="170">
        <v>16</v>
      </c>
      <c r="E17" s="170">
        <v>83</v>
      </c>
      <c r="F17" s="171">
        <v>19</v>
      </c>
    </row>
    <row r="18" spans="1:6" ht="14.25" customHeight="1">
      <c r="A18" s="594" t="s">
        <v>54</v>
      </c>
      <c r="B18" s="115" t="s">
        <v>285</v>
      </c>
      <c r="C18" s="170">
        <v>4188</v>
      </c>
      <c r="D18" s="170">
        <f>49+1015</f>
        <v>1064</v>
      </c>
      <c r="E18" s="170">
        <v>3717</v>
      </c>
      <c r="F18" s="171">
        <f>43+951</f>
        <v>994</v>
      </c>
    </row>
    <row r="19" spans="1:6" ht="14.25" customHeight="1">
      <c r="A19" s="594"/>
      <c r="B19" s="115" t="s">
        <v>286</v>
      </c>
      <c r="C19" s="170">
        <v>181</v>
      </c>
      <c r="D19" s="170">
        <v>49</v>
      </c>
      <c r="E19" s="170">
        <v>187</v>
      </c>
      <c r="F19" s="171">
        <v>43</v>
      </c>
    </row>
    <row r="20" spans="1:6" ht="14.25" customHeight="1">
      <c r="A20" s="594" t="s">
        <v>55</v>
      </c>
      <c r="B20" s="115" t="s">
        <v>285</v>
      </c>
      <c r="C20" s="170">
        <v>5142</v>
      </c>
      <c r="D20" s="170">
        <f>96+1054</f>
        <v>1150</v>
      </c>
      <c r="E20" s="170">
        <v>4365</v>
      </c>
      <c r="F20" s="171">
        <f>95+1003</f>
        <v>1098</v>
      </c>
    </row>
    <row r="21" spans="1:6" ht="14.25" customHeight="1">
      <c r="A21" s="594"/>
      <c r="B21" s="115" t="s">
        <v>286</v>
      </c>
      <c r="C21" s="170">
        <v>316</v>
      </c>
      <c r="D21" s="170">
        <v>96</v>
      </c>
      <c r="E21" s="170">
        <v>332</v>
      </c>
      <c r="F21" s="171">
        <v>95</v>
      </c>
    </row>
    <row r="22" spans="1:6" ht="14.25" customHeight="1">
      <c r="A22" s="594" t="s">
        <v>56</v>
      </c>
      <c r="B22" s="115" t="s">
        <v>285</v>
      </c>
      <c r="C22" s="170">
        <v>1121</v>
      </c>
      <c r="D22" s="170">
        <f>15+214</f>
        <v>229</v>
      </c>
      <c r="E22" s="170">
        <v>943</v>
      </c>
      <c r="F22" s="171">
        <f>15+183</f>
        <v>198</v>
      </c>
    </row>
    <row r="23" spans="1:6" ht="14.25" customHeight="1">
      <c r="A23" s="594"/>
      <c r="B23" s="115" t="s">
        <v>286</v>
      </c>
      <c r="C23" s="170">
        <v>44</v>
      </c>
      <c r="D23" s="170">
        <v>15</v>
      </c>
      <c r="E23" s="170">
        <v>48</v>
      </c>
      <c r="F23" s="171">
        <v>15</v>
      </c>
    </row>
    <row r="24" spans="1:6" ht="14.25" customHeight="1">
      <c r="A24" s="594" t="s">
        <v>57</v>
      </c>
      <c r="B24" s="115" t="s">
        <v>285</v>
      </c>
      <c r="C24" s="170">
        <v>2640</v>
      </c>
      <c r="D24" s="170">
        <f>23+491</f>
        <v>514</v>
      </c>
      <c r="E24" s="170">
        <v>2366</v>
      </c>
      <c r="F24" s="171">
        <f>24+505</f>
        <v>529</v>
      </c>
    </row>
    <row r="25" spans="1:6" ht="14.25" customHeight="1">
      <c r="A25" s="594"/>
      <c r="B25" s="115" t="s">
        <v>286</v>
      </c>
      <c r="C25" s="170">
        <v>129</v>
      </c>
      <c r="D25" s="170">
        <v>23</v>
      </c>
      <c r="E25" s="170">
        <v>130</v>
      </c>
      <c r="F25" s="171">
        <v>24</v>
      </c>
    </row>
    <row r="26" spans="1:6" ht="14.25" customHeight="1">
      <c r="A26" s="594" t="s">
        <v>58</v>
      </c>
      <c r="B26" s="115" t="s">
        <v>285</v>
      </c>
      <c r="C26" s="170">
        <v>1165</v>
      </c>
      <c r="D26" s="170">
        <f>5+284</f>
        <v>289</v>
      </c>
      <c r="E26" s="170">
        <v>1052</v>
      </c>
      <c r="F26" s="171">
        <f>6+271</f>
        <v>277</v>
      </c>
    </row>
    <row r="27" spans="1:6" ht="14.25" customHeight="1">
      <c r="A27" s="594"/>
      <c r="B27" s="115" t="s">
        <v>286</v>
      </c>
      <c r="C27" s="170">
        <v>23</v>
      </c>
      <c r="D27" s="170">
        <v>5</v>
      </c>
      <c r="E27" s="170">
        <v>26</v>
      </c>
      <c r="F27" s="171">
        <v>6</v>
      </c>
    </row>
    <row r="28" spans="1:6" ht="14.25" customHeight="1">
      <c r="A28" s="594" t="s">
        <v>59</v>
      </c>
      <c r="B28" s="115" t="s">
        <v>285</v>
      </c>
      <c r="C28" s="170">
        <v>2522</v>
      </c>
      <c r="D28" s="170">
        <f>31+578</f>
        <v>609</v>
      </c>
      <c r="E28" s="170">
        <v>2125</v>
      </c>
      <c r="F28" s="171">
        <f>32+557</f>
        <v>589</v>
      </c>
    </row>
    <row r="29" spans="1:6" ht="14.25" customHeight="1">
      <c r="A29" s="594"/>
      <c r="B29" s="115" t="s">
        <v>286</v>
      </c>
      <c r="C29" s="170">
        <v>85</v>
      </c>
      <c r="D29" s="170">
        <v>31</v>
      </c>
      <c r="E29" s="170">
        <v>94</v>
      </c>
      <c r="F29" s="171">
        <v>32</v>
      </c>
    </row>
    <row r="30" spans="1:6" ht="14.25" customHeight="1">
      <c r="A30" s="594" t="s">
        <v>60</v>
      </c>
      <c r="B30" s="115" t="s">
        <v>285</v>
      </c>
      <c r="C30" s="170">
        <v>4642</v>
      </c>
      <c r="D30" s="170">
        <f>42+970</f>
        <v>1012</v>
      </c>
      <c r="E30" s="170">
        <v>4369</v>
      </c>
      <c r="F30" s="171">
        <f>49+959</f>
        <v>1008</v>
      </c>
    </row>
    <row r="31" spans="1:6" ht="14.25" customHeight="1">
      <c r="A31" s="594"/>
      <c r="B31" s="115" t="s">
        <v>286</v>
      </c>
      <c r="C31" s="170">
        <v>187</v>
      </c>
      <c r="D31" s="170">
        <v>42</v>
      </c>
      <c r="E31" s="170">
        <v>203</v>
      </c>
      <c r="F31" s="171">
        <v>49</v>
      </c>
    </row>
    <row r="32" spans="1:6" ht="14.25" customHeight="1">
      <c r="A32" s="594" t="s">
        <v>61</v>
      </c>
      <c r="B32" s="115" t="s">
        <v>285</v>
      </c>
      <c r="C32" s="170">
        <v>939</v>
      </c>
      <c r="D32" s="170">
        <f>1+198</f>
        <v>199</v>
      </c>
      <c r="E32" s="170">
        <v>853</v>
      </c>
      <c r="F32" s="171">
        <f>3+203</f>
        <v>206</v>
      </c>
    </row>
    <row r="33" spans="1:6" ht="14.25" customHeight="1">
      <c r="A33" s="594"/>
      <c r="B33" s="115" t="s">
        <v>286</v>
      </c>
      <c r="C33" s="170">
        <v>28</v>
      </c>
      <c r="D33" s="170">
        <v>1</v>
      </c>
      <c r="E33" s="170">
        <v>28</v>
      </c>
      <c r="F33" s="171">
        <v>3</v>
      </c>
    </row>
    <row r="34" spans="1:6" ht="14.25" customHeight="1">
      <c r="A34" s="594" t="s">
        <v>62</v>
      </c>
      <c r="B34" s="115" t="s">
        <v>285</v>
      </c>
      <c r="C34" s="170">
        <v>1778</v>
      </c>
      <c r="D34" s="170">
        <f>11+377</f>
        <v>388</v>
      </c>
      <c r="E34" s="170">
        <v>1405</v>
      </c>
      <c r="F34" s="171">
        <f>12+336</f>
        <v>348</v>
      </c>
    </row>
    <row r="35" spans="1:6" ht="14.25" customHeight="1">
      <c r="A35" s="594"/>
      <c r="B35" s="115" t="s">
        <v>286</v>
      </c>
      <c r="C35" s="170">
        <v>47</v>
      </c>
      <c r="D35" s="170">
        <v>11</v>
      </c>
      <c r="E35" s="170">
        <v>55</v>
      </c>
      <c r="F35" s="171">
        <v>12</v>
      </c>
    </row>
    <row r="36" spans="1:6" ht="14.25" customHeight="1">
      <c r="A36" s="594" t="s">
        <v>63</v>
      </c>
      <c r="B36" s="115" t="s">
        <v>285</v>
      </c>
      <c r="C36" s="170">
        <v>3788</v>
      </c>
      <c r="D36" s="170">
        <f>55+737</f>
        <v>792</v>
      </c>
      <c r="E36" s="170">
        <v>3284</v>
      </c>
      <c r="F36" s="171">
        <f>53+697</f>
        <v>750</v>
      </c>
    </row>
    <row r="37" spans="1:6" ht="14.25" customHeight="1">
      <c r="A37" s="594"/>
      <c r="B37" s="115" t="s">
        <v>286</v>
      </c>
      <c r="C37" s="170">
        <v>216</v>
      </c>
      <c r="D37" s="170">
        <v>55</v>
      </c>
      <c r="E37" s="170">
        <v>218</v>
      </c>
      <c r="F37" s="171">
        <v>53</v>
      </c>
    </row>
    <row r="38" spans="1:6" ht="14.25" customHeight="1">
      <c r="A38" s="594" t="s">
        <v>64</v>
      </c>
      <c r="B38" s="124" t="s">
        <v>285</v>
      </c>
      <c r="C38" s="170">
        <v>1895</v>
      </c>
      <c r="D38" s="170">
        <f>6+425</f>
        <v>431</v>
      </c>
      <c r="E38" s="170">
        <v>1683</v>
      </c>
      <c r="F38" s="171">
        <f>10+429</f>
        <v>439</v>
      </c>
    </row>
    <row r="39" spans="1:6" ht="14.25" customHeight="1">
      <c r="A39" s="594"/>
      <c r="B39" s="124" t="s">
        <v>286</v>
      </c>
      <c r="C39" s="170">
        <v>81</v>
      </c>
      <c r="D39" s="170">
        <v>6</v>
      </c>
      <c r="E39" s="170">
        <v>65</v>
      </c>
      <c r="F39" s="171">
        <v>10</v>
      </c>
    </row>
    <row r="40" spans="1:6" ht="14.25" customHeight="1">
      <c r="A40" s="54"/>
      <c r="B40" s="116"/>
      <c r="C40" s="60"/>
      <c r="D40" s="60"/>
      <c r="E40" s="60"/>
      <c r="F40" s="60"/>
    </row>
    <row r="41" spans="1:6" ht="24" customHeight="1">
      <c r="A41" s="562" t="s">
        <v>327</v>
      </c>
      <c r="B41" s="562"/>
      <c r="C41" s="562"/>
      <c r="D41" s="562"/>
      <c r="E41" s="562"/>
      <c r="F41" s="562"/>
    </row>
    <row r="42" spans="1:6" ht="13.4" customHeight="1">
      <c r="A42" s="561" t="s">
        <v>325</v>
      </c>
      <c r="B42" s="561"/>
      <c r="C42" s="561"/>
      <c r="D42" s="561"/>
      <c r="E42" s="561"/>
      <c r="F42" s="561"/>
    </row>
  </sheetData>
  <mergeCells count="25">
    <mergeCell ref="A42:F42"/>
    <mergeCell ref="A30:A31"/>
    <mergeCell ref="A32:A33"/>
    <mergeCell ref="A34:A35"/>
    <mergeCell ref="A36:A37"/>
    <mergeCell ref="A38:A39"/>
    <mergeCell ref="A41:F41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1:F1"/>
    <mergeCell ref="A2:F2"/>
    <mergeCell ref="E3:F3"/>
    <mergeCell ref="A4:B5"/>
    <mergeCell ref="C4:D4"/>
    <mergeCell ref="E4:F4"/>
  </mergeCells>
  <hyperlinks>
    <hyperlink ref="E3" location="'Spis tablic'!A4" display="Powrót do spisu treści" xr:uid="{00000000-0004-0000-1B00-000000000000}"/>
    <hyperlink ref="E3:F3" location="'Spis tablic  List of tables'!A57" display="'Spis tablic  List of tables'!A57" xr:uid="{00000000-0004-0000-1B00-000001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A1:H154"/>
  <sheetViews>
    <sheetView zoomScaleNormal="100" workbookViewId="0">
      <pane xSplit="2" ySplit="5" topLeftCell="C6" activePane="bottomRight" state="frozen"/>
      <selection activeCell="G12" sqref="G12"/>
      <selection pane="topRight" activeCell="G12" sqref="G12"/>
      <selection pane="bottomLeft" activeCell="G12" sqref="G12"/>
      <selection pane="bottomRight" activeCell="E3" sqref="E3:F3"/>
    </sheetView>
  </sheetViews>
  <sheetFormatPr defaultColWidth="9.1796875" defaultRowHeight="14.5"/>
  <cols>
    <col min="1" max="1" width="25" style="50" customWidth="1"/>
    <col min="2" max="2" width="4.54296875" style="50" customWidth="1"/>
    <col min="3" max="6" width="11.54296875" style="50" customWidth="1"/>
    <col min="7" max="7" width="11.81640625" style="50" customWidth="1"/>
    <col min="8" max="9" width="11.453125" style="50" customWidth="1"/>
    <col min="10" max="16384" width="9.1796875" style="50"/>
  </cols>
  <sheetData>
    <row r="1" spans="1:8" s="39" customFormat="1" ht="36.65" customHeight="1">
      <c r="A1" s="545" t="s">
        <v>982</v>
      </c>
      <c r="B1" s="545"/>
      <c r="C1" s="545"/>
      <c r="D1" s="545"/>
      <c r="E1" s="545"/>
      <c r="F1" s="545"/>
    </row>
    <row r="2" spans="1:8" s="39" customFormat="1" ht="30" customHeight="1">
      <c r="A2" s="610" t="s">
        <v>1372</v>
      </c>
      <c r="B2" s="610"/>
      <c r="C2" s="610"/>
      <c r="D2" s="610"/>
      <c r="E2" s="610"/>
      <c r="F2" s="610"/>
    </row>
    <row r="3" spans="1:8" s="39" customFormat="1" ht="27.65" customHeight="1">
      <c r="B3" s="49"/>
      <c r="C3" s="49"/>
      <c r="E3" s="537" t="s">
        <v>5</v>
      </c>
      <c r="F3" s="547"/>
    </row>
    <row r="4" spans="1:8">
      <c r="A4" s="584" t="s">
        <v>316</v>
      </c>
      <c r="B4" s="548"/>
      <c r="C4" s="607">
        <v>2023</v>
      </c>
      <c r="D4" s="608"/>
      <c r="E4" s="543">
        <v>2024</v>
      </c>
      <c r="F4" s="544"/>
    </row>
    <row r="5" spans="1:8" ht="74.25" customHeight="1">
      <c r="A5" s="591"/>
      <c r="B5" s="550"/>
      <c r="C5" s="44" t="s">
        <v>80</v>
      </c>
      <c r="D5" s="44" t="s">
        <v>243</v>
      </c>
      <c r="E5" s="44" t="s">
        <v>80</v>
      </c>
      <c r="F5" s="45" t="s">
        <v>243</v>
      </c>
      <c r="H5" s="48"/>
    </row>
    <row r="6" spans="1:8" ht="14.25" customHeight="1">
      <c r="A6" s="593" t="s">
        <v>328</v>
      </c>
      <c r="B6" s="52" t="s">
        <v>285</v>
      </c>
      <c r="C6" s="256">
        <v>41078</v>
      </c>
      <c r="D6" s="219">
        <f>445+8818</f>
        <v>9263</v>
      </c>
      <c r="E6" s="219">
        <v>35596</v>
      </c>
      <c r="F6" s="220">
        <f>455+8381</f>
        <v>8836</v>
      </c>
      <c r="G6" s="245"/>
      <c r="H6" s="245"/>
    </row>
    <row r="7" spans="1:8" ht="14.25" customHeight="1">
      <c r="A7" s="593"/>
      <c r="B7" s="52" t="s">
        <v>286</v>
      </c>
      <c r="C7" s="202">
        <v>1788</v>
      </c>
      <c r="D7" s="202">
        <v>445</v>
      </c>
      <c r="E7" s="219">
        <v>1827</v>
      </c>
      <c r="F7" s="220">
        <v>455</v>
      </c>
      <c r="G7" s="245"/>
      <c r="H7" s="245"/>
    </row>
    <row r="8" spans="1:8" ht="14.25" customHeight="1">
      <c r="A8" s="594" t="s">
        <v>82</v>
      </c>
      <c r="B8" s="115" t="s">
        <v>285</v>
      </c>
      <c r="C8" s="204">
        <v>200</v>
      </c>
      <c r="D8" s="204">
        <f>11+117</f>
        <v>128</v>
      </c>
      <c r="E8" s="204">
        <v>140</v>
      </c>
      <c r="F8" s="205">
        <f>12+82</f>
        <v>94</v>
      </c>
    </row>
    <row r="9" spans="1:8" ht="14.25" customHeight="1">
      <c r="A9" s="594"/>
      <c r="B9" s="115" t="s">
        <v>286</v>
      </c>
      <c r="C9" s="204">
        <v>24</v>
      </c>
      <c r="D9" s="204">
        <v>11</v>
      </c>
      <c r="E9" s="204">
        <v>24</v>
      </c>
      <c r="F9" s="205">
        <v>12</v>
      </c>
    </row>
    <row r="10" spans="1:8" ht="14.25" customHeight="1">
      <c r="A10" s="594" t="s">
        <v>83</v>
      </c>
      <c r="B10" s="115" t="s">
        <v>285</v>
      </c>
      <c r="C10" s="204">
        <v>27</v>
      </c>
      <c r="D10" s="204">
        <f>2+7</f>
        <v>9</v>
      </c>
      <c r="E10" s="204">
        <v>27</v>
      </c>
      <c r="F10" s="205">
        <f>2+4</f>
        <v>6</v>
      </c>
    </row>
    <row r="11" spans="1:8" ht="14.25" customHeight="1">
      <c r="A11" s="594"/>
      <c r="B11" s="115" t="s">
        <v>286</v>
      </c>
      <c r="C11" s="204">
        <v>6</v>
      </c>
      <c r="D11" s="171">
        <v>2</v>
      </c>
      <c r="E11" s="204">
        <v>6</v>
      </c>
      <c r="F11" s="171">
        <v>2</v>
      </c>
    </row>
    <row r="12" spans="1:8" ht="14.25" customHeight="1">
      <c r="A12" s="598" t="s">
        <v>949</v>
      </c>
      <c r="B12" s="115" t="s">
        <v>285</v>
      </c>
      <c r="C12" s="204">
        <v>10</v>
      </c>
      <c r="D12" s="171">
        <v>1</v>
      </c>
      <c r="E12" s="204">
        <v>12</v>
      </c>
      <c r="F12" s="171">
        <v>1</v>
      </c>
    </row>
    <row r="13" spans="1:8" ht="14.25" customHeight="1">
      <c r="A13" s="598"/>
      <c r="B13" s="115" t="s">
        <v>286</v>
      </c>
      <c r="C13" s="204">
        <v>10</v>
      </c>
      <c r="D13" s="171">
        <v>1</v>
      </c>
      <c r="E13" s="204">
        <v>12</v>
      </c>
      <c r="F13" s="171">
        <v>1</v>
      </c>
    </row>
    <row r="14" spans="1:8" ht="14.25" customHeight="1">
      <c r="A14" s="594" t="s">
        <v>84</v>
      </c>
      <c r="B14" s="115" t="s">
        <v>285</v>
      </c>
      <c r="C14" s="204">
        <v>126</v>
      </c>
      <c r="D14" s="204">
        <f>2+34</f>
        <v>36</v>
      </c>
      <c r="E14" s="204">
        <v>150</v>
      </c>
      <c r="F14" s="205">
        <f>4+44</f>
        <v>48</v>
      </c>
    </row>
    <row r="15" spans="1:8" ht="14.25" customHeight="1">
      <c r="A15" s="594"/>
      <c r="B15" s="115" t="s">
        <v>286</v>
      </c>
      <c r="C15" s="204">
        <v>9</v>
      </c>
      <c r="D15" s="171">
        <v>2</v>
      </c>
      <c r="E15" s="204">
        <v>12</v>
      </c>
      <c r="F15" s="205">
        <v>4</v>
      </c>
    </row>
    <row r="16" spans="1:8" ht="14.25" customHeight="1">
      <c r="A16" s="594" t="s">
        <v>300</v>
      </c>
      <c r="B16" s="115" t="s">
        <v>285</v>
      </c>
      <c r="C16" s="204">
        <f>31+13</f>
        <v>44</v>
      </c>
      <c r="D16" s="204" t="s">
        <v>1074</v>
      </c>
      <c r="E16" s="204">
        <f>31+13</f>
        <v>44</v>
      </c>
      <c r="F16" s="205" t="s">
        <v>1074</v>
      </c>
      <c r="G16" s="60"/>
    </row>
    <row r="17" spans="1:8" ht="14.25" customHeight="1">
      <c r="A17" s="594"/>
      <c r="B17" s="115" t="s">
        <v>286</v>
      </c>
      <c r="C17" s="204">
        <v>6</v>
      </c>
      <c r="D17" s="204" t="s">
        <v>1074</v>
      </c>
      <c r="E17" s="204">
        <v>6</v>
      </c>
      <c r="F17" s="205" t="s">
        <v>1074</v>
      </c>
      <c r="G17" s="60"/>
    </row>
    <row r="18" spans="1:8" ht="14.25" customHeight="1">
      <c r="A18" s="594" t="s">
        <v>88</v>
      </c>
      <c r="B18" s="115" t="s">
        <v>285</v>
      </c>
      <c r="C18" s="204">
        <v>591</v>
      </c>
      <c r="D18" s="204">
        <f>6+246</f>
        <v>252</v>
      </c>
      <c r="E18" s="204">
        <v>616</v>
      </c>
      <c r="F18" s="205">
        <f>6+257</f>
        <v>263</v>
      </c>
    </row>
    <row r="19" spans="1:8" ht="14.25" customHeight="1">
      <c r="A19" s="594"/>
      <c r="B19" s="115" t="s">
        <v>286</v>
      </c>
      <c r="C19" s="204">
        <v>17</v>
      </c>
      <c r="D19" s="204">
        <v>6</v>
      </c>
      <c r="E19" s="204">
        <v>17</v>
      </c>
      <c r="F19" s="205">
        <v>6</v>
      </c>
    </row>
    <row r="20" spans="1:8" ht="14.25" customHeight="1">
      <c r="A20" s="594" t="s">
        <v>89</v>
      </c>
      <c r="B20" s="115" t="s">
        <v>285</v>
      </c>
      <c r="C20" s="204">
        <v>182</v>
      </c>
      <c r="D20" s="204">
        <v>20</v>
      </c>
      <c r="E20" s="204">
        <v>190</v>
      </c>
      <c r="F20" s="205">
        <v>21</v>
      </c>
    </row>
    <row r="21" spans="1:8" ht="14.25" customHeight="1">
      <c r="A21" s="594"/>
      <c r="B21" s="115" t="s">
        <v>286</v>
      </c>
      <c r="C21" s="204">
        <v>2</v>
      </c>
      <c r="D21" s="204" t="s">
        <v>1074</v>
      </c>
      <c r="E21" s="204">
        <v>2</v>
      </c>
      <c r="F21" s="205" t="s">
        <v>1074</v>
      </c>
    </row>
    <row r="22" spans="1:8" ht="14.25" customHeight="1">
      <c r="A22" s="597" t="s">
        <v>301</v>
      </c>
      <c r="B22" s="115" t="s">
        <v>285</v>
      </c>
      <c r="C22" s="204">
        <v>1</v>
      </c>
      <c r="D22" s="204" t="s">
        <v>1074</v>
      </c>
      <c r="E22" s="205" t="s">
        <v>1074</v>
      </c>
      <c r="F22" s="205" t="s">
        <v>1074</v>
      </c>
    </row>
    <row r="23" spans="1:8" ht="14.25" customHeight="1">
      <c r="A23" s="597"/>
      <c r="B23" s="115" t="s">
        <v>286</v>
      </c>
      <c r="C23" s="204" t="s">
        <v>1074</v>
      </c>
      <c r="D23" s="204" t="s">
        <v>1074</v>
      </c>
      <c r="E23" s="205" t="s">
        <v>1074</v>
      </c>
      <c r="F23" s="205" t="s">
        <v>1074</v>
      </c>
    </row>
    <row r="24" spans="1:8" ht="14.25" customHeight="1">
      <c r="A24" s="605" t="s">
        <v>302</v>
      </c>
      <c r="B24" s="115" t="s">
        <v>285</v>
      </c>
      <c r="C24" s="171">
        <v>30</v>
      </c>
      <c r="D24" s="171">
        <f>7+13</f>
        <v>20</v>
      </c>
      <c r="E24" s="204">
        <v>30</v>
      </c>
      <c r="F24" s="205">
        <f>7+13</f>
        <v>20</v>
      </c>
    </row>
    <row r="25" spans="1:8" ht="14.25" customHeight="1">
      <c r="A25" s="605"/>
      <c r="B25" s="115" t="s">
        <v>286</v>
      </c>
      <c r="C25" s="171">
        <v>8</v>
      </c>
      <c r="D25" s="171">
        <v>7</v>
      </c>
      <c r="E25" s="204">
        <v>8</v>
      </c>
      <c r="F25" s="205">
        <v>7</v>
      </c>
    </row>
    <row r="26" spans="1:8" ht="14.25" customHeight="1">
      <c r="A26" s="594" t="s">
        <v>93</v>
      </c>
      <c r="B26" s="115" t="s">
        <v>285</v>
      </c>
      <c r="C26" s="204">
        <f>198</f>
        <v>198</v>
      </c>
      <c r="D26" s="204">
        <f>1+23</f>
        <v>24</v>
      </c>
      <c r="E26" s="204">
        <v>255</v>
      </c>
      <c r="F26" s="205">
        <f>1+34</f>
        <v>35</v>
      </c>
    </row>
    <row r="27" spans="1:8" ht="14.25" customHeight="1">
      <c r="A27" s="594"/>
      <c r="B27" s="115" t="s">
        <v>286</v>
      </c>
      <c r="C27" s="204">
        <v>23</v>
      </c>
      <c r="D27" s="204">
        <v>1</v>
      </c>
      <c r="E27" s="204">
        <v>27</v>
      </c>
      <c r="F27" s="205">
        <v>1</v>
      </c>
    </row>
    <row r="28" spans="1:8" ht="14.25" customHeight="1">
      <c r="A28" s="594" t="s">
        <v>94</v>
      </c>
      <c r="B28" s="115" t="s">
        <v>285</v>
      </c>
      <c r="C28" s="204">
        <v>290</v>
      </c>
      <c r="D28" s="204">
        <v>24</v>
      </c>
      <c r="E28" s="204">
        <v>294</v>
      </c>
      <c r="F28" s="205">
        <v>26</v>
      </c>
    </row>
    <row r="29" spans="1:8" ht="14.25" customHeight="1">
      <c r="A29" s="594"/>
      <c r="B29" s="115" t="s">
        <v>286</v>
      </c>
      <c r="C29" s="204">
        <v>11</v>
      </c>
      <c r="D29" s="204" t="s">
        <v>1074</v>
      </c>
      <c r="E29" s="204">
        <v>11</v>
      </c>
      <c r="F29" s="205" t="s">
        <v>1074</v>
      </c>
    </row>
    <row r="30" spans="1:8" ht="14.25" customHeight="1">
      <c r="A30" s="594" t="s">
        <v>95</v>
      </c>
      <c r="B30" s="115" t="s">
        <v>285</v>
      </c>
      <c r="C30" s="171">
        <v>38</v>
      </c>
      <c r="D30" s="171">
        <f>6+21</f>
        <v>27</v>
      </c>
      <c r="E30" s="204">
        <v>38</v>
      </c>
      <c r="F30" s="205">
        <f>6+21</f>
        <v>27</v>
      </c>
      <c r="G30" s="117"/>
      <c r="H30" s="117"/>
    </row>
    <row r="31" spans="1:8" ht="14.25" customHeight="1">
      <c r="A31" s="594"/>
      <c r="B31" s="115" t="s">
        <v>286</v>
      </c>
      <c r="C31" s="171">
        <v>7</v>
      </c>
      <c r="D31" s="171">
        <v>6</v>
      </c>
      <c r="E31" s="204">
        <v>10</v>
      </c>
      <c r="F31" s="205">
        <v>6</v>
      </c>
      <c r="G31" s="117"/>
      <c r="H31" s="117"/>
    </row>
    <row r="32" spans="1:8" ht="14.25" customHeight="1">
      <c r="A32" s="600" t="s">
        <v>948</v>
      </c>
      <c r="B32" s="115" t="s">
        <v>285</v>
      </c>
      <c r="C32" s="204">
        <v>12</v>
      </c>
      <c r="D32" s="204">
        <f>4+3</f>
        <v>7</v>
      </c>
      <c r="E32" s="204">
        <v>15</v>
      </c>
      <c r="F32" s="205">
        <f>5+2</f>
        <v>7</v>
      </c>
    </row>
    <row r="33" spans="1:6" ht="14.25" customHeight="1">
      <c r="A33" s="600"/>
      <c r="B33" s="115" t="s">
        <v>286</v>
      </c>
      <c r="C33" s="204">
        <v>7</v>
      </c>
      <c r="D33" s="204">
        <v>4</v>
      </c>
      <c r="E33" s="204">
        <v>10</v>
      </c>
      <c r="F33" s="205">
        <v>5</v>
      </c>
    </row>
    <row r="34" spans="1:6" ht="14.25" customHeight="1">
      <c r="A34" s="600" t="s">
        <v>97</v>
      </c>
      <c r="B34" s="115" t="s">
        <v>285</v>
      </c>
      <c r="C34" s="204">
        <v>51</v>
      </c>
      <c r="D34" s="204">
        <f>2+5</f>
        <v>7</v>
      </c>
      <c r="E34" s="204">
        <v>51</v>
      </c>
      <c r="F34" s="205">
        <f>2+5</f>
        <v>7</v>
      </c>
    </row>
    <row r="35" spans="1:6" ht="14.25" customHeight="1">
      <c r="A35" s="600"/>
      <c r="B35" s="115" t="s">
        <v>286</v>
      </c>
      <c r="C35" s="204">
        <v>16</v>
      </c>
      <c r="D35" s="204">
        <v>2</v>
      </c>
      <c r="E35" s="204">
        <v>16</v>
      </c>
      <c r="F35" s="205">
        <v>2</v>
      </c>
    </row>
    <row r="36" spans="1:6" ht="14.25" customHeight="1">
      <c r="A36" s="595" t="s">
        <v>929</v>
      </c>
      <c r="B36" s="115" t="s">
        <v>285</v>
      </c>
      <c r="C36" s="204">
        <v>109</v>
      </c>
      <c r="D36" s="204">
        <f>10+98</f>
        <v>108</v>
      </c>
      <c r="E36" s="204">
        <v>96</v>
      </c>
      <c r="F36" s="205">
        <f>15+81</f>
        <v>96</v>
      </c>
    </row>
    <row r="37" spans="1:6" ht="14.25" customHeight="1">
      <c r="A37" s="595"/>
      <c r="B37" s="115" t="s">
        <v>286</v>
      </c>
      <c r="C37" s="204">
        <v>10</v>
      </c>
      <c r="D37" s="204">
        <v>10</v>
      </c>
      <c r="E37" s="204">
        <v>15</v>
      </c>
      <c r="F37" s="205">
        <v>15</v>
      </c>
    </row>
    <row r="38" spans="1:6" ht="14.25" customHeight="1">
      <c r="A38" s="595" t="s">
        <v>928</v>
      </c>
      <c r="B38" s="115" t="s">
        <v>285</v>
      </c>
      <c r="C38" s="204">
        <v>93</v>
      </c>
      <c r="D38" s="204">
        <f>6+39</f>
        <v>45</v>
      </c>
      <c r="E38" s="204">
        <v>64</v>
      </c>
      <c r="F38" s="205">
        <f>5+25</f>
        <v>30</v>
      </c>
    </row>
    <row r="39" spans="1:6" ht="14.25" customHeight="1">
      <c r="A39" s="595"/>
      <c r="B39" s="115" t="s">
        <v>286</v>
      </c>
      <c r="C39" s="204">
        <v>15</v>
      </c>
      <c r="D39" s="204">
        <v>6</v>
      </c>
      <c r="E39" s="204">
        <v>14</v>
      </c>
      <c r="F39" s="205">
        <v>5</v>
      </c>
    </row>
    <row r="40" spans="1:6" ht="14.25" customHeight="1">
      <c r="A40" s="594" t="s">
        <v>99</v>
      </c>
      <c r="B40" s="115" t="s">
        <v>285</v>
      </c>
      <c r="C40" s="204">
        <v>54</v>
      </c>
      <c r="D40" s="204">
        <f>3+6</f>
        <v>9</v>
      </c>
      <c r="E40" s="204">
        <v>36</v>
      </c>
      <c r="F40" s="205">
        <f>3+3</f>
        <v>6</v>
      </c>
    </row>
    <row r="41" spans="1:6" ht="14.25" customHeight="1">
      <c r="A41" s="594"/>
      <c r="B41" s="115" t="s">
        <v>286</v>
      </c>
      <c r="C41" s="204">
        <v>10</v>
      </c>
      <c r="D41" s="204">
        <v>3</v>
      </c>
      <c r="E41" s="204">
        <v>12</v>
      </c>
      <c r="F41" s="205">
        <v>3</v>
      </c>
    </row>
    <row r="42" spans="1:6" ht="14.25" customHeight="1">
      <c r="A42" s="595" t="s">
        <v>304</v>
      </c>
      <c r="B42" s="115" t="s">
        <v>285</v>
      </c>
      <c r="C42" s="204">
        <v>296</v>
      </c>
      <c r="D42" s="204">
        <f>3+28</f>
        <v>31</v>
      </c>
      <c r="E42" s="204">
        <v>277</v>
      </c>
      <c r="F42" s="205">
        <f>3+28</f>
        <v>31</v>
      </c>
    </row>
    <row r="43" spans="1:6" ht="14.25" customHeight="1">
      <c r="A43" s="595"/>
      <c r="B43" s="115" t="s">
        <v>286</v>
      </c>
      <c r="C43" s="204">
        <v>15</v>
      </c>
      <c r="D43" s="204">
        <v>3</v>
      </c>
      <c r="E43" s="204">
        <v>14</v>
      </c>
      <c r="F43" s="205">
        <v>3</v>
      </c>
    </row>
    <row r="44" spans="1:6" ht="14.25" customHeight="1">
      <c r="A44" s="595" t="s">
        <v>255</v>
      </c>
      <c r="B44" s="115" t="s">
        <v>285</v>
      </c>
      <c r="C44" s="204">
        <v>124</v>
      </c>
      <c r="D44" s="204">
        <f>9+40</f>
        <v>49</v>
      </c>
      <c r="E44" s="204">
        <v>53</v>
      </c>
      <c r="F44" s="205">
        <f>3+12</f>
        <v>15</v>
      </c>
    </row>
    <row r="45" spans="1:6" ht="14.25" customHeight="1">
      <c r="A45" s="595"/>
      <c r="B45" s="115" t="s">
        <v>286</v>
      </c>
      <c r="C45" s="204">
        <v>24</v>
      </c>
      <c r="D45" s="204">
        <v>9</v>
      </c>
      <c r="E45" s="204">
        <v>9</v>
      </c>
      <c r="F45" s="205">
        <v>3</v>
      </c>
    </row>
    <row r="46" spans="1:6" ht="14.25" customHeight="1">
      <c r="A46" s="600" t="s">
        <v>950</v>
      </c>
      <c r="B46" s="115" t="s">
        <v>285</v>
      </c>
      <c r="C46" s="444">
        <f>67</f>
        <v>67</v>
      </c>
      <c r="D46" s="445">
        <v>12</v>
      </c>
      <c r="E46" s="204">
        <v>35</v>
      </c>
      <c r="F46" s="205">
        <v>10</v>
      </c>
    </row>
    <row r="47" spans="1:6" ht="14.25" customHeight="1">
      <c r="A47" s="600"/>
      <c r="B47" s="115" t="s">
        <v>286</v>
      </c>
      <c r="C47" s="444">
        <v>4</v>
      </c>
      <c r="D47" s="445" t="s">
        <v>1074</v>
      </c>
      <c r="E47" s="205" t="s">
        <v>1074</v>
      </c>
      <c r="F47" s="205" t="s">
        <v>1074</v>
      </c>
    </row>
    <row r="48" spans="1:6" ht="14.25" customHeight="1">
      <c r="A48" s="594" t="s">
        <v>104</v>
      </c>
      <c r="B48" s="115" t="s">
        <v>285</v>
      </c>
      <c r="C48" s="204">
        <v>598</v>
      </c>
      <c r="D48" s="204">
        <f>32+385</f>
        <v>417</v>
      </c>
      <c r="E48" s="204">
        <v>542</v>
      </c>
      <c r="F48" s="205">
        <v>387</v>
      </c>
    </row>
    <row r="49" spans="1:6" ht="14.25" customHeight="1">
      <c r="A49" s="594"/>
      <c r="B49" s="115" t="s">
        <v>286</v>
      </c>
      <c r="C49" s="204">
        <v>51</v>
      </c>
      <c r="D49" s="204">
        <v>32</v>
      </c>
      <c r="E49" s="204">
        <v>39</v>
      </c>
      <c r="F49" s="205">
        <v>29</v>
      </c>
    </row>
    <row r="50" spans="1:6" ht="14.25" customHeight="1">
      <c r="A50" s="594" t="s">
        <v>16</v>
      </c>
      <c r="B50" s="115" t="s">
        <v>285</v>
      </c>
      <c r="C50" s="204">
        <v>334</v>
      </c>
      <c r="D50" s="204">
        <f>7+87</f>
        <v>94</v>
      </c>
      <c r="E50" s="204">
        <v>156</v>
      </c>
      <c r="F50" s="205">
        <f>2+50</f>
        <v>52</v>
      </c>
    </row>
    <row r="51" spans="1:6" ht="14.25" customHeight="1">
      <c r="A51" s="594"/>
      <c r="B51" s="115" t="s">
        <v>286</v>
      </c>
      <c r="C51" s="204">
        <v>21</v>
      </c>
      <c r="D51" s="204">
        <v>7</v>
      </c>
      <c r="E51" s="204">
        <v>6</v>
      </c>
      <c r="F51" s="205">
        <v>2</v>
      </c>
    </row>
    <row r="52" spans="1:6" ht="14.25" customHeight="1">
      <c r="A52" s="594" t="s">
        <v>106</v>
      </c>
      <c r="B52" s="115" t="s">
        <v>285</v>
      </c>
      <c r="C52" s="204">
        <v>412</v>
      </c>
      <c r="D52" s="204">
        <v>160</v>
      </c>
      <c r="E52" s="205">
        <v>412</v>
      </c>
      <c r="F52" s="205">
        <v>160</v>
      </c>
    </row>
    <row r="53" spans="1:6" ht="14.25" customHeight="1">
      <c r="A53" s="594"/>
      <c r="B53" s="115" t="s">
        <v>286</v>
      </c>
      <c r="C53" s="204">
        <v>23</v>
      </c>
      <c r="D53" s="204">
        <v>10</v>
      </c>
      <c r="E53" s="204">
        <v>23</v>
      </c>
      <c r="F53" s="205">
        <v>10</v>
      </c>
    </row>
    <row r="54" spans="1:6" ht="14.25" customHeight="1">
      <c r="A54" s="594" t="s">
        <v>305</v>
      </c>
      <c r="B54" s="115" t="s">
        <v>285</v>
      </c>
      <c r="C54" s="204">
        <v>137</v>
      </c>
      <c r="D54" s="204">
        <f>2+30</f>
        <v>32</v>
      </c>
      <c r="E54" s="204">
        <v>53</v>
      </c>
      <c r="F54" s="205">
        <f>2+15</f>
        <v>17</v>
      </c>
    </row>
    <row r="55" spans="1:6" ht="14.25" customHeight="1">
      <c r="A55" s="594"/>
      <c r="B55" s="115" t="s">
        <v>286</v>
      </c>
      <c r="C55" s="204">
        <v>7</v>
      </c>
      <c r="D55" s="204">
        <v>2</v>
      </c>
      <c r="E55" s="204">
        <v>8</v>
      </c>
      <c r="F55" s="205">
        <v>2</v>
      </c>
    </row>
    <row r="56" spans="1:6" ht="14.25" customHeight="1">
      <c r="A56" s="594" t="s">
        <v>110</v>
      </c>
      <c r="B56" s="115" t="s">
        <v>285</v>
      </c>
      <c r="C56" s="204">
        <v>141</v>
      </c>
      <c r="D56" s="204">
        <f>5+44</f>
        <v>49</v>
      </c>
      <c r="E56" s="204">
        <v>154</v>
      </c>
      <c r="F56" s="205">
        <f>5+48</f>
        <v>53</v>
      </c>
    </row>
    <row r="57" spans="1:6" ht="14.25" customHeight="1">
      <c r="A57" s="594"/>
      <c r="B57" s="115" t="s">
        <v>286</v>
      </c>
      <c r="C57" s="204">
        <v>11</v>
      </c>
      <c r="D57" s="204">
        <v>5</v>
      </c>
      <c r="E57" s="204">
        <v>11</v>
      </c>
      <c r="F57" s="205">
        <v>5</v>
      </c>
    </row>
    <row r="58" spans="1:6" ht="14.25" customHeight="1">
      <c r="A58" s="594" t="s">
        <v>111</v>
      </c>
      <c r="B58" s="115" t="s">
        <v>285</v>
      </c>
      <c r="C58" s="204">
        <v>189</v>
      </c>
      <c r="D58" s="204">
        <f>3+37</f>
        <v>40</v>
      </c>
      <c r="E58" s="204">
        <v>181</v>
      </c>
      <c r="F58" s="205">
        <f>3+32</f>
        <v>35</v>
      </c>
    </row>
    <row r="59" spans="1:6" ht="14.25" customHeight="1">
      <c r="A59" s="594"/>
      <c r="B59" s="115" t="s">
        <v>286</v>
      </c>
      <c r="C59" s="204">
        <v>6</v>
      </c>
      <c r="D59" s="204">
        <v>3</v>
      </c>
      <c r="E59" s="204">
        <v>8</v>
      </c>
      <c r="F59" s="205">
        <v>3</v>
      </c>
    </row>
    <row r="60" spans="1:6" ht="14.25" customHeight="1">
      <c r="A60" s="594" t="s">
        <v>117</v>
      </c>
      <c r="B60" s="115" t="s">
        <v>285</v>
      </c>
      <c r="C60" s="204">
        <v>50</v>
      </c>
      <c r="D60" s="204">
        <v>18</v>
      </c>
      <c r="E60" s="204">
        <v>50</v>
      </c>
      <c r="F60" s="205">
        <v>18</v>
      </c>
    </row>
    <row r="61" spans="1:6" ht="14.25" customHeight="1">
      <c r="A61" s="594"/>
      <c r="B61" s="115" t="s">
        <v>286</v>
      </c>
      <c r="C61" s="204">
        <v>4</v>
      </c>
      <c r="D61" s="171" t="s">
        <v>1074</v>
      </c>
      <c r="E61" s="204">
        <v>4</v>
      </c>
      <c r="F61" s="205" t="s">
        <v>1074</v>
      </c>
    </row>
    <row r="62" spans="1:6" ht="14.25" customHeight="1">
      <c r="A62" s="594" t="s">
        <v>18</v>
      </c>
      <c r="B62" s="115" t="s">
        <v>285</v>
      </c>
      <c r="C62" s="204">
        <v>1744</v>
      </c>
      <c r="D62" s="204">
        <f>4+649</f>
        <v>653</v>
      </c>
      <c r="E62" s="204">
        <v>1936</v>
      </c>
      <c r="F62" s="205">
        <f>11+729</f>
        <v>740</v>
      </c>
    </row>
    <row r="63" spans="1:6" ht="14.25" customHeight="1">
      <c r="A63" s="594"/>
      <c r="B63" s="115" t="s">
        <v>286</v>
      </c>
      <c r="C63" s="204">
        <v>20</v>
      </c>
      <c r="D63" s="204">
        <v>4</v>
      </c>
      <c r="E63" s="204">
        <v>32</v>
      </c>
      <c r="F63" s="205">
        <v>11</v>
      </c>
    </row>
    <row r="64" spans="1:6" ht="14.25" customHeight="1">
      <c r="A64" s="606" t="s">
        <v>306</v>
      </c>
      <c r="B64" s="115" t="s">
        <v>285</v>
      </c>
      <c r="C64" s="204">
        <v>145</v>
      </c>
      <c r="D64" s="204">
        <v>65</v>
      </c>
      <c r="E64" s="204">
        <v>155</v>
      </c>
      <c r="F64" s="205">
        <v>70</v>
      </c>
    </row>
    <row r="65" spans="1:8" ht="14.25" customHeight="1">
      <c r="A65" s="595"/>
      <c r="B65" s="115" t="s">
        <v>286</v>
      </c>
      <c r="C65" s="171" t="s">
        <v>1074</v>
      </c>
      <c r="D65" s="171" t="s">
        <v>1074</v>
      </c>
      <c r="E65" s="205" t="s">
        <v>1074</v>
      </c>
      <c r="F65" s="205" t="s">
        <v>1074</v>
      </c>
    </row>
    <row r="66" spans="1:8" ht="14.25" customHeight="1">
      <c r="A66" s="595" t="s">
        <v>251</v>
      </c>
      <c r="B66" s="115" t="s">
        <v>285</v>
      </c>
      <c r="C66" s="204">
        <v>24</v>
      </c>
      <c r="D66" s="204">
        <v>12</v>
      </c>
      <c r="E66" s="171">
        <v>24</v>
      </c>
      <c r="F66" s="171">
        <v>12</v>
      </c>
    </row>
    <row r="67" spans="1:8" ht="14.25" customHeight="1">
      <c r="A67" s="595"/>
      <c r="B67" s="115" t="s">
        <v>286</v>
      </c>
      <c r="C67" s="171" t="s">
        <v>1074</v>
      </c>
      <c r="D67" s="171" t="s">
        <v>1074</v>
      </c>
      <c r="E67" s="205" t="s">
        <v>1074</v>
      </c>
      <c r="F67" s="205" t="s">
        <v>1074</v>
      </c>
    </row>
    <row r="68" spans="1:8" ht="14.25" customHeight="1">
      <c r="A68" s="594" t="s">
        <v>19</v>
      </c>
      <c r="B68" s="115" t="s">
        <v>285</v>
      </c>
      <c r="C68" s="204">
        <v>2753</v>
      </c>
      <c r="D68" s="204">
        <f>3+1124</f>
        <v>1127</v>
      </c>
      <c r="E68" s="204">
        <v>2657</v>
      </c>
      <c r="F68" s="205">
        <f>3+1113</f>
        <v>1116</v>
      </c>
    </row>
    <row r="69" spans="1:8" ht="14.25" customHeight="1">
      <c r="A69" s="594"/>
      <c r="B69" s="115" t="s">
        <v>286</v>
      </c>
      <c r="C69" s="204">
        <v>9</v>
      </c>
      <c r="D69" s="171">
        <v>3</v>
      </c>
      <c r="E69" s="204">
        <v>10</v>
      </c>
      <c r="F69" s="171">
        <v>3</v>
      </c>
    </row>
    <row r="70" spans="1:8" ht="14.25" customHeight="1">
      <c r="A70" s="594" t="s">
        <v>119</v>
      </c>
      <c r="B70" s="115" t="s">
        <v>285</v>
      </c>
      <c r="C70" s="204">
        <v>152</v>
      </c>
      <c r="D70" s="204">
        <v>64</v>
      </c>
      <c r="E70" s="204">
        <v>125</v>
      </c>
      <c r="F70" s="205">
        <v>54</v>
      </c>
    </row>
    <row r="71" spans="1:8" ht="14.25" customHeight="1">
      <c r="A71" s="594"/>
      <c r="B71" s="115" t="s">
        <v>286</v>
      </c>
      <c r="C71" s="171" t="s">
        <v>1074</v>
      </c>
      <c r="D71" s="171" t="s">
        <v>1074</v>
      </c>
      <c r="E71" s="171" t="s">
        <v>1074</v>
      </c>
      <c r="F71" s="171" t="s">
        <v>1074</v>
      </c>
    </row>
    <row r="72" spans="1:8" ht="14.25" customHeight="1">
      <c r="A72" s="594" t="s">
        <v>120</v>
      </c>
      <c r="B72" s="115" t="s">
        <v>285</v>
      </c>
      <c r="C72" s="204">
        <v>88</v>
      </c>
      <c r="D72" s="204">
        <f>30+31</f>
        <v>61</v>
      </c>
      <c r="E72" s="204">
        <v>95</v>
      </c>
      <c r="F72" s="205">
        <f>30+36</f>
        <v>66</v>
      </c>
    </row>
    <row r="73" spans="1:8" ht="14.25" customHeight="1">
      <c r="A73" s="594"/>
      <c r="B73" s="115" t="s">
        <v>286</v>
      </c>
      <c r="C73" s="204">
        <v>44</v>
      </c>
      <c r="D73" s="204">
        <v>30</v>
      </c>
      <c r="E73" s="204">
        <v>44</v>
      </c>
      <c r="F73" s="205">
        <v>30</v>
      </c>
    </row>
    <row r="74" spans="1:8" ht="14.25" customHeight="1">
      <c r="A74" s="594" t="s">
        <v>307</v>
      </c>
      <c r="B74" s="115" t="s">
        <v>285</v>
      </c>
      <c r="C74" s="204">
        <f>92+18</f>
        <v>110</v>
      </c>
      <c r="D74" s="204">
        <f>8+31+2+5</f>
        <v>46</v>
      </c>
      <c r="E74" s="204">
        <f>97+13</f>
        <v>110</v>
      </c>
      <c r="F74" s="205">
        <f>11+33+2+1</f>
        <v>47</v>
      </c>
    </row>
    <row r="75" spans="1:8" ht="14.25" customHeight="1">
      <c r="A75" s="594"/>
      <c r="B75" s="115" t="s">
        <v>286</v>
      </c>
      <c r="C75" s="204">
        <f>14+8</f>
        <v>22</v>
      </c>
      <c r="D75" s="204">
        <f>8+2</f>
        <v>10</v>
      </c>
      <c r="E75" s="204">
        <f>22+10</f>
        <v>32</v>
      </c>
      <c r="F75" s="205">
        <f>11+2</f>
        <v>13</v>
      </c>
    </row>
    <row r="76" spans="1:8" ht="14.25" customHeight="1">
      <c r="A76" s="594" t="s">
        <v>123</v>
      </c>
      <c r="B76" s="115" t="s">
        <v>285</v>
      </c>
      <c r="C76" s="204">
        <v>36</v>
      </c>
      <c r="D76" s="204">
        <f>1+12</f>
        <v>13</v>
      </c>
      <c r="E76" s="204">
        <v>44</v>
      </c>
      <c r="F76" s="205">
        <f>2+13</f>
        <v>15</v>
      </c>
    </row>
    <row r="77" spans="1:8" ht="14.25" customHeight="1">
      <c r="A77" s="594"/>
      <c r="B77" s="115" t="s">
        <v>286</v>
      </c>
      <c r="C77" s="204">
        <v>11</v>
      </c>
      <c r="D77" s="171">
        <v>1</v>
      </c>
      <c r="E77" s="204">
        <v>14</v>
      </c>
      <c r="F77" s="171">
        <v>2</v>
      </c>
    </row>
    <row r="78" spans="1:8" ht="14.25" customHeight="1">
      <c r="A78" s="594" t="s">
        <v>124</v>
      </c>
      <c r="B78" s="115" t="s">
        <v>285</v>
      </c>
      <c r="C78" s="204">
        <v>1998</v>
      </c>
      <c r="D78" s="204">
        <v>645</v>
      </c>
      <c r="E78" s="204">
        <v>1350</v>
      </c>
      <c r="F78" s="205">
        <v>501</v>
      </c>
      <c r="G78" s="57"/>
      <c r="H78" s="57"/>
    </row>
    <row r="79" spans="1:8" ht="14.25" customHeight="1">
      <c r="A79" s="594"/>
      <c r="B79" s="115" t="s">
        <v>286</v>
      </c>
      <c r="C79" s="204">
        <v>93</v>
      </c>
      <c r="D79" s="204">
        <v>21</v>
      </c>
      <c r="E79" s="204">
        <v>90</v>
      </c>
      <c r="F79" s="205">
        <v>12</v>
      </c>
      <c r="G79" s="57"/>
      <c r="H79" s="57"/>
    </row>
    <row r="80" spans="1:8" ht="14.25" customHeight="1">
      <c r="A80" s="594" t="s">
        <v>128</v>
      </c>
      <c r="B80" s="115" t="s">
        <v>285</v>
      </c>
      <c r="C80" s="204">
        <v>211</v>
      </c>
      <c r="D80" s="204">
        <v>65</v>
      </c>
      <c r="E80" s="204">
        <v>220</v>
      </c>
      <c r="F80" s="205">
        <v>69</v>
      </c>
    </row>
    <row r="81" spans="1:8" ht="14.25" customHeight="1">
      <c r="A81" s="594"/>
      <c r="B81" s="115" t="s">
        <v>286</v>
      </c>
      <c r="C81" s="204">
        <v>5</v>
      </c>
      <c r="D81" s="171" t="s">
        <v>1074</v>
      </c>
      <c r="E81" s="204">
        <v>5</v>
      </c>
      <c r="F81" s="171" t="s">
        <v>1074</v>
      </c>
    </row>
    <row r="82" spans="1:8" ht="14.25" customHeight="1">
      <c r="A82" s="603" t="s">
        <v>329</v>
      </c>
      <c r="B82" s="115" t="s">
        <v>285</v>
      </c>
      <c r="C82" s="204">
        <v>62</v>
      </c>
      <c r="D82" s="204">
        <v>6</v>
      </c>
      <c r="E82" s="204">
        <v>62</v>
      </c>
      <c r="F82" s="205">
        <v>6</v>
      </c>
      <c r="G82" s="117"/>
      <c r="H82" s="117"/>
    </row>
    <row r="83" spans="1:8" ht="14.25" customHeight="1">
      <c r="A83" s="603"/>
      <c r="B83" s="115" t="s">
        <v>286</v>
      </c>
      <c r="C83" s="204">
        <v>1</v>
      </c>
      <c r="D83" s="171" t="s">
        <v>1074</v>
      </c>
      <c r="E83" s="204">
        <v>1</v>
      </c>
      <c r="F83" s="171" t="s">
        <v>1074</v>
      </c>
      <c r="G83" s="117"/>
      <c r="H83" s="117"/>
    </row>
    <row r="84" spans="1:8" ht="14.25" customHeight="1">
      <c r="A84" s="594" t="s">
        <v>130</v>
      </c>
      <c r="B84" s="115" t="s">
        <v>285</v>
      </c>
      <c r="C84" s="204">
        <v>56</v>
      </c>
      <c r="D84" s="204">
        <f>19+5</f>
        <v>24</v>
      </c>
      <c r="E84" s="204">
        <v>64</v>
      </c>
      <c r="F84" s="205">
        <f>18+11</f>
        <v>29</v>
      </c>
    </row>
    <row r="85" spans="1:8" ht="14.25" customHeight="1">
      <c r="A85" s="594"/>
      <c r="B85" s="115" t="s">
        <v>286</v>
      </c>
      <c r="C85" s="204">
        <v>39</v>
      </c>
      <c r="D85" s="204">
        <v>19</v>
      </c>
      <c r="E85" s="204">
        <v>38</v>
      </c>
      <c r="F85" s="205">
        <v>18</v>
      </c>
    </row>
    <row r="86" spans="1:8" ht="14.25" customHeight="1">
      <c r="A86" s="594" t="s">
        <v>249</v>
      </c>
      <c r="B86" s="115" t="s">
        <v>285</v>
      </c>
      <c r="C86" s="204">
        <v>8025</v>
      </c>
      <c r="D86" s="204">
        <f>16+318</f>
        <v>334</v>
      </c>
      <c r="E86" s="204">
        <v>8069</v>
      </c>
      <c r="F86" s="205">
        <f>14+357</f>
        <v>371</v>
      </c>
    </row>
    <row r="87" spans="1:8" ht="14.25" customHeight="1">
      <c r="A87" s="594"/>
      <c r="B87" s="115" t="s">
        <v>286</v>
      </c>
      <c r="C87" s="204">
        <v>43</v>
      </c>
      <c r="D87" s="204">
        <v>16</v>
      </c>
      <c r="E87" s="204">
        <v>38</v>
      </c>
      <c r="F87" s="205">
        <v>14</v>
      </c>
    </row>
    <row r="88" spans="1:8" ht="14.25" customHeight="1">
      <c r="A88" s="594" t="s">
        <v>21</v>
      </c>
      <c r="B88" s="115" t="s">
        <v>285</v>
      </c>
      <c r="C88" s="204">
        <v>668</v>
      </c>
      <c r="D88" s="204">
        <f>2+163</f>
        <v>165</v>
      </c>
      <c r="E88" s="204">
        <v>553</v>
      </c>
      <c r="F88" s="205">
        <f>2+113</f>
        <v>115</v>
      </c>
    </row>
    <row r="89" spans="1:8" ht="14.25" customHeight="1">
      <c r="A89" s="594"/>
      <c r="B89" s="115" t="s">
        <v>286</v>
      </c>
      <c r="C89" s="204">
        <v>10</v>
      </c>
      <c r="D89" s="204">
        <v>2</v>
      </c>
      <c r="E89" s="204">
        <v>10</v>
      </c>
      <c r="F89" s="205">
        <v>2</v>
      </c>
    </row>
    <row r="90" spans="1:8" ht="14.25" customHeight="1">
      <c r="A90" s="594" t="s">
        <v>248</v>
      </c>
      <c r="B90" s="115" t="s">
        <v>285</v>
      </c>
      <c r="C90" s="204">
        <v>1677</v>
      </c>
      <c r="D90" s="204">
        <f>8+461</f>
        <v>469</v>
      </c>
      <c r="E90" s="204">
        <v>1652</v>
      </c>
      <c r="F90" s="205">
        <f>4+487</f>
        <v>491</v>
      </c>
    </row>
    <row r="91" spans="1:8" ht="14.25" customHeight="1">
      <c r="A91" s="594"/>
      <c r="B91" s="115" t="s">
        <v>286</v>
      </c>
      <c r="C91" s="204">
        <v>31</v>
      </c>
      <c r="D91" s="204">
        <v>8</v>
      </c>
      <c r="E91" s="204">
        <v>25</v>
      </c>
      <c r="F91" s="205">
        <v>4</v>
      </c>
    </row>
    <row r="92" spans="1:8" ht="14.25" customHeight="1">
      <c r="A92" s="594" t="s">
        <v>138</v>
      </c>
      <c r="B92" s="115" t="s">
        <v>285</v>
      </c>
      <c r="C92" s="204">
        <v>149</v>
      </c>
      <c r="D92" s="204">
        <v>69</v>
      </c>
      <c r="E92" s="204">
        <v>178</v>
      </c>
      <c r="F92" s="205">
        <v>89</v>
      </c>
    </row>
    <row r="93" spans="1:8" ht="14.25" customHeight="1">
      <c r="A93" s="594"/>
      <c r="B93" s="115" t="s">
        <v>286</v>
      </c>
      <c r="C93" s="204">
        <v>5</v>
      </c>
      <c r="D93" s="171" t="s">
        <v>1074</v>
      </c>
      <c r="E93" s="204">
        <v>5</v>
      </c>
      <c r="F93" s="171" t="s">
        <v>1074</v>
      </c>
    </row>
    <row r="94" spans="1:8" ht="14.25" customHeight="1">
      <c r="A94" s="594" t="s">
        <v>139</v>
      </c>
      <c r="B94" s="115" t="s">
        <v>285</v>
      </c>
      <c r="C94" s="204">
        <v>68</v>
      </c>
      <c r="D94" s="204">
        <f>7+8</f>
        <v>15</v>
      </c>
      <c r="E94" s="204">
        <v>70</v>
      </c>
      <c r="F94" s="205">
        <f>9+11</f>
        <v>20</v>
      </c>
    </row>
    <row r="95" spans="1:8" ht="14.25" customHeight="1">
      <c r="A95" s="594"/>
      <c r="B95" s="115" t="s">
        <v>286</v>
      </c>
      <c r="C95" s="204">
        <v>37</v>
      </c>
      <c r="D95" s="204">
        <v>7</v>
      </c>
      <c r="E95" s="204">
        <v>38</v>
      </c>
      <c r="F95" s="205">
        <v>9</v>
      </c>
    </row>
    <row r="96" spans="1:8" ht="14.25" customHeight="1">
      <c r="A96" s="594" t="s">
        <v>310</v>
      </c>
      <c r="B96" s="115" t="s">
        <v>285</v>
      </c>
      <c r="C96" s="204">
        <v>77</v>
      </c>
      <c r="D96" s="204">
        <v>20</v>
      </c>
      <c r="E96" s="204">
        <v>81</v>
      </c>
      <c r="F96" s="205">
        <v>21</v>
      </c>
    </row>
    <row r="97" spans="1:6" ht="14.25" customHeight="1">
      <c r="A97" s="594"/>
      <c r="B97" s="115" t="s">
        <v>286</v>
      </c>
      <c r="C97" s="171" t="s">
        <v>1074</v>
      </c>
      <c r="D97" s="171" t="s">
        <v>1074</v>
      </c>
      <c r="E97" s="171" t="s">
        <v>1074</v>
      </c>
      <c r="F97" s="171" t="s">
        <v>1074</v>
      </c>
    </row>
    <row r="98" spans="1:6" ht="14.25" customHeight="1">
      <c r="A98" s="594" t="s">
        <v>143</v>
      </c>
      <c r="B98" s="115" t="s">
        <v>285</v>
      </c>
      <c r="C98" s="204">
        <v>82</v>
      </c>
      <c r="D98" s="204">
        <f>5+6</f>
        <v>11</v>
      </c>
      <c r="E98" s="204">
        <v>85</v>
      </c>
      <c r="F98" s="205">
        <f>1+7</f>
        <v>8</v>
      </c>
    </row>
    <row r="99" spans="1:6" ht="14.25" customHeight="1">
      <c r="A99" s="594"/>
      <c r="B99" s="115" t="s">
        <v>286</v>
      </c>
      <c r="C99" s="204">
        <v>24</v>
      </c>
      <c r="D99" s="204">
        <v>5</v>
      </c>
      <c r="E99" s="204">
        <v>26</v>
      </c>
      <c r="F99" s="205">
        <v>1</v>
      </c>
    </row>
    <row r="100" spans="1:6" ht="14.25" customHeight="1">
      <c r="A100" s="594" t="s">
        <v>315</v>
      </c>
      <c r="B100" s="115" t="s">
        <v>285</v>
      </c>
      <c r="C100" s="204">
        <v>15</v>
      </c>
      <c r="D100" s="204">
        <f>6+5</f>
        <v>11</v>
      </c>
      <c r="E100" s="204">
        <v>17</v>
      </c>
      <c r="F100" s="205">
        <f>6+6</f>
        <v>12</v>
      </c>
    </row>
    <row r="101" spans="1:6" ht="14.25" customHeight="1">
      <c r="A101" s="594"/>
      <c r="B101" s="115" t="s">
        <v>286</v>
      </c>
      <c r="C101" s="204">
        <v>7</v>
      </c>
      <c r="D101" s="204">
        <v>6</v>
      </c>
      <c r="E101" s="204">
        <v>8</v>
      </c>
      <c r="F101" s="205">
        <v>6</v>
      </c>
    </row>
    <row r="102" spans="1:6" ht="14.25" customHeight="1">
      <c r="A102" s="594" t="s">
        <v>311</v>
      </c>
      <c r="B102" s="115" t="s">
        <v>285</v>
      </c>
      <c r="C102" s="204">
        <v>24</v>
      </c>
      <c r="D102" s="204">
        <f>3+1</f>
        <v>4</v>
      </c>
      <c r="E102" s="204">
        <v>35</v>
      </c>
      <c r="F102" s="205">
        <f>5+2</f>
        <v>7</v>
      </c>
    </row>
    <row r="103" spans="1:6" ht="14.25" customHeight="1">
      <c r="A103" s="594"/>
      <c r="B103" s="115" t="s">
        <v>286</v>
      </c>
      <c r="C103" s="204">
        <v>15</v>
      </c>
      <c r="D103" s="204">
        <v>3</v>
      </c>
      <c r="E103" s="204">
        <v>20</v>
      </c>
      <c r="F103" s="205">
        <v>5</v>
      </c>
    </row>
    <row r="104" spans="1:6" ht="14.25" customHeight="1">
      <c r="A104" s="594" t="s">
        <v>144</v>
      </c>
      <c r="B104" s="115" t="s">
        <v>285</v>
      </c>
      <c r="C104" s="204">
        <v>13</v>
      </c>
      <c r="D104" s="204">
        <v>2</v>
      </c>
      <c r="E104" s="204">
        <v>11</v>
      </c>
      <c r="F104" s="205">
        <v>1</v>
      </c>
    </row>
    <row r="105" spans="1:6" ht="14.25" customHeight="1">
      <c r="A105" s="594"/>
      <c r="B105" s="115" t="s">
        <v>286</v>
      </c>
      <c r="C105" s="204">
        <v>2</v>
      </c>
      <c r="D105" s="171" t="s">
        <v>1074</v>
      </c>
      <c r="E105" s="204">
        <v>3</v>
      </c>
      <c r="F105" s="171" t="s">
        <v>1074</v>
      </c>
    </row>
    <row r="106" spans="1:6" ht="14.25" customHeight="1">
      <c r="A106" s="594" t="s">
        <v>146</v>
      </c>
      <c r="B106" s="115" t="s">
        <v>285</v>
      </c>
      <c r="C106" s="204">
        <v>550</v>
      </c>
      <c r="D106" s="204">
        <v>21</v>
      </c>
      <c r="E106" s="204">
        <v>557</v>
      </c>
      <c r="F106" s="205">
        <v>22</v>
      </c>
    </row>
    <row r="107" spans="1:6" ht="14.25" customHeight="1">
      <c r="A107" s="594"/>
      <c r="B107" s="115" t="s">
        <v>286</v>
      </c>
      <c r="C107" s="204">
        <v>41</v>
      </c>
      <c r="D107" s="204">
        <v>2</v>
      </c>
      <c r="E107" s="204">
        <v>41</v>
      </c>
      <c r="F107" s="205">
        <v>2</v>
      </c>
    </row>
    <row r="108" spans="1:6" ht="14.25" customHeight="1">
      <c r="A108" s="594" t="s">
        <v>147</v>
      </c>
      <c r="B108" s="115" t="s">
        <v>285</v>
      </c>
      <c r="C108" s="204">
        <f>65+64</f>
        <v>129</v>
      </c>
      <c r="D108" s="204">
        <f>2+10+10</f>
        <v>22</v>
      </c>
      <c r="E108" s="204">
        <f>65+64</f>
        <v>129</v>
      </c>
      <c r="F108" s="205">
        <f>2+10+10</f>
        <v>22</v>
      </c>
    </row>
    <row r="109" spans="1:6" ht="21" customHeight="1">
      <c r="A109" s="594"/>
      <c r="B109" s="115" t="s">
        <v>286</v>
      </c>
      <c r="C109" s="204">
        <f>13+11</f>
        <v>24</v>
      </c>
      <c r="D109" s="204">
        <v>2</v>
      </c>
      <c r="E109" s="204">
        <f>13+11</f>
        <v>24</v>
      </c>
      <c r="F109" s="205">
        <v>2</v>
      </c>
    </row>
    <row r="110" spans="1:6" ht="14.25" customHeight="1">
      <c r="A110" s="594" t="s">
        <v>151</v>
      </c>
      <c r="B110" s="115" t="s">
        <v>285</v>
      </c>
      <c r="C110" s="204">
        <v>2701</v>
      </c>
      <c r="D110" s="204">
        <v>525</v>
      </c>
      <c r="E110" s="204">
        <v>2436</v>
      </c>
      <c r="F110" s="205">
        <v>500</v>
      </c>
    </row>
    <row r="111" spans="1:6" ht="14.25" customHeight="1">
      <c r="A111" s="594"/>
      <c r="B111" s="115" t="s">
        <v>286</v>
      </c>
      <c r="C111" s="204">
        <v>593</v>
      </c>
      <c r="D111" s="204">
        <v>100</v>
      </c>
      <c r="E111" s="204">
        <v>570</v>
      </c>
      <c r="F111" s="171">
        <v>104</v>
      </c>
    </row>
    <row r="112" spans="1:6" ht="14.25" customHeight="1">
      <c r="A112" s="594" t="s">
        <v>152</v>
      </c>
      <c r="B112" s="115" t="s">
        <v>285</v>
      </c>
      <c r="C112" s="204">
        <v>2449</v>
      </c>
      <c r="D112" s="204">
        <v>1307</v>
      </c>
      <c r="E112" s="204">
        <v>2703</v>
      </c>
      <c r="F112" s="205">
        <v>1462</v>
      </c>
    </row>
    <row r="113" spans="1:8" ht="14.25" customHeight="1">
      <c r="A113" s="594"/>
      <c r="B113" s="115" t="s">
        <v>286</v>
      </c>
      <c r="C113" s="204">
        <v>18</v>
      </c>
      <c r="D113" s="204">
        <v>5</v>
      </c>
      <c r="E113" s="204">
        <v>17</v>
      </c>
      <c r="F113" s="205">
        <v>5</v>
      </c>
    </row>
    <row r="114" spans="1:8" ht="14.25" customHeight="1">
      <c r="A114" s="594" t="s">
        <v>157</v>
      </c>
      <c r="B114" s="115" t="s">
        <v>285</v>
      </c>
      <c r="C114" s="204">
        <v>49</v>
      </c>
      <c r="D114" s="204">
        <f>2+7</f>
        <v>9</v>
      </c>
      <c r="E114" s="204">
        <v>49</v>
      </c>
      <c r="F114" s="205">
        <f>2+7</f>
        <v>9</v>
      </c>
    </row>
    <row r="115" spans="1:8" ht="14.25" customHeight="1">
      <c r="A115" s="594"/>
      <c r="B115" s="115" t="s">
        <v>286</v>
      </c>
      <c r="C115" s="204">
        <v>7</v>
      </c>
      <c r="D115" s="204">
        <v>2</v>
      </c>
      <c r="E115" s="204">
        <v>7</v>
      </c>
      <c r="F115" s="205">
        <v>2</v>
      </c>
    </row>
    <row r="116" spans="1:8" ht="14.25" customHeight="1">
      <c r="A116" s="598" t="s">
        <v>1244</v>
      </c>
      <c r="B116" s="115" t="s">
        <v>285</v>
      </c>
      <c r="C116" s="204" t="s">
        <v>1237</v>
      </c>
      <c r="D116" s="204" t="s">
        <v>1237</v>
      </c>
      <c r="E116" s="205">
        <v>133</v>
      </c>
      <c r="F116" s="205">
        <v>67</v>
      </c>
    </row>
    <row r="117" spans="1:8" ht="14.25" customHeight="1">
      <c r="A117" s="598"/>
      <c r="B117" s="115" t="s">
        <v>286</v>
      </c>
      <c r="C117" s="204" t="s">
        <v>1237</v>
      </c>
      <c r="D117" s="204" t="s">
        <v>1237</v>
      </c>
      <c r="E117" s="204">
        <v>24</v>
      </c>
      <c r="F117" s="205">
        <v>12</v>
      </c>
    </row>
    <row r="118" spans="1:8" ht="14.25" customHeight="1">
      <c r="A118" s="594" t="s">
        <v>145</v>
      </c>
      <c r="B118" s="115" t="s">
        <v>285</v>
      </c>
      <c r="C118" s="171">
        <v>97</v>
      </c>
      <c r="D118" s="171">
        <v>8</v>
      </c>
      <c r="E118" s="204">
        <v>107</v>
      </c>
      <c r="F118" s="223">
        <f>1+11</f>
        <v>12</v>
      </c>
      <c r="G118" s="117"/>
      <c r="H118" s="117"/>
    </row>
    <row r="119" spans="1:8" ht="14.25" customHeight="1">
      <c r="A119" s="594"/>
      <c r="B119" s="115" t="s">
        <v>286</v>
      </c>
      <c r="C119" s="171">
        <v>15</v>
      </c>
      <c r="D119" s="171" t="s">
        <v>1074</v>
      </c>
      <c r="E119" s="204">
        <v>16</v>
      </c>
      <c r="F119" s="171">
        <v>1</v>
      </c>
      <c r="G119" s="117"/>
      <c r="H119" s="117"/>
    </row>
    <row r="120" spans="1:8" ht="14.25" customHeight="1">
      <c r="A120" s="594" t="s">
        <v>24</v>
      </c>
      <c r="B120" s="115" t="s">
        <v>285</v>
      </c>
      <c r="C120" s="204">
        <v>8026</v>
      </c>
      <c r="D120" s="204">
        <f>5+840</f>
        <v>845</v>
      </c>
      <c r="E120" s="204">
        <v>3716</v>
      </c>
      <c r="F120" s="205">
        <f>5+396</f>
        <v>401</v>
      </c>
    </row>
    <row r="121" spans="1:8" ht="14.25" customHeight="1">
      <c r="A121" s="594"/>
      <c r="B121" s="115" t="s">
        <v>286</v>
      </c>
      <c r="C121" s="204">
        <v>22</v>
      </c>
      <c r="D121" s="204">
        <v>5</v>
      </c>
      <c r="E121" s="204">
        <v>21</v>
      </c>
      <c r="F121" s="205">
        <v>5</v>
      </c>
    </row>
    <row r="122" spans="1:8" ht="14.25" customHeight="1">
      <c r="A122" s="594" t="s">
        <v>170</v>
      </c>
      <c r="B122" s="115" t="s">
        <v>285</v>
      </c>
      <c r="C122" s="204">
        <v>66</v>
      </c>
      <c r="D122" s="204">
        <f>1+19</f>
        <v>20</v>
      </c>
      <c r="E122" s="204">
        <v>66</v>
      </c>
      <c r="F122" s="205">
        <f>1+19</f>
        <v>20</v>
      </c>
    </row>
    <row r="123" spans="1:8" ht="14.25" customHeight="1">
      <c r="A123" s="594"/>
      <c r="B123" s="115" t="s">
        <v>286</v>
      </c>
      <c r="C123" s="204">
        <v>15</v>
      </c>
      <c r="D123" s="204">
        <v>1</v>
      </c>
      <c r="E123" s="204">
        <v>15</v>
      </c>
      <c r="F123" s="205">
        <v>1</v>
      </c>
    </row>
    <row r="124" spans="1:8" ht="14.25" customHeight="1">
      <c r="A124" s="598" t="s">
        <v>1243</v>
      </c>
      <c r="B124" s="115" t="s">
        <v>285</v>
      </c>
      <c r="C124" s="204" t="s">
        <v>1237</v>
      </c>
      <c r="D124" s="204" t="s">
        <v>1237</v>
      </c>
      <c r="E124" s="204">
        <v>19</v>
      </c>
      <c r="F124" s="205">
        <v>4</v>
      </c>
    </row>
    <row r="125" spans="1:8" ht="14.25" customHeight="1">
      <c r="A125" s="598"/>
      <c r="B125" s="115" t="s">
        <v>286</v>
      </c>
      <c r="C125" s="204" t="s">
        <v>1237</v>
      </c>
      <c r="D125" s="204" t="s">
        <v>1237</v>
      </c>
      <c r="E125" s="204">
        <v>18</v>
      </c>
      <c r="F125" s="205">
        <v>4</v>
      </c>
    </row>
    <row r="126" spans="1:8" ht="14.25" customHeight="1">
      <c r="A126" s="594" t="s">
        <v>171</v>
      </c>
      <c r="B126" s="115" t="s">
        <v>285</v>
      </c>
      <c r="C126" s="204">
        <v>2383</v>
      </c>
      <c r="D126" s="204">
        <f>12+408</f>
        <v>420</v>
      </c>
      <c r="E126" s="204">
        <v>2545</v>
      </c>
      <c r="F126" s="205">
        <f>13+448</f>
        <v>461</v>
      </c>
    </row>
    <row r="127" spans="1:8" ht="14.25" customHeight="1">
      <c r="A127" s="594"/>
      <c r="B127" s="115" t="s">
        <v>286</v>
      </c>
      <c r="C127" s="204">
        <v>102</v>
      </c>
      <c r="D127" s="204">
        <v>12</v>
      </c>
      <c r="E127" s="204">
        <v>108</v>
      </c>
      <c r="F127" s="205">
        <v>13</v>
      </c>
    </row>
    <row r="128" spans="1:8" ht="14.25" customHeight="1">
      <c r="A128" s="594" t="s">
        <v>172</v>
      </c>
      <c r="B128" s="115" t="s">
        <v>285</v>
      </c>
      <c r="C128" s="204">
        <v>112</v>
      </c>
      <c r="D128" s="204">
        <f>3+17</f>
        <v>20</v>
      </c>
      <c r="E128" s="204">
        <v>98</v>
      </c>
      <c r="F128" s="205">
        <f>4+13</f>
        <v>17</v>
      </c>
    </row>
    <row r="129" spans="1:6" ht="14.25" customHeight="1">
      <c r="A129" s="594"/>
      <c r="B129" s="115" t="s">
        <v>286</v>
      </c>
      <c r="C129" s="204">
        <v>26</v>
      </c>
      <c r="D129" s="204">
        <v>3</v>
      </c>
      <c r="E129" s="204">
        <v>28</v>
      </c>
      <c r="F129" s="205">
        <v>4</v>
      </c>
    </row>
    <row r="130" spans="1:6" ht="14.25" customHeight="1">
      <c r="A130" s="598" t="s">
        <v>1009</v>
      </c>
      <c r="B130" s="115" t="s">
        <v>285</v>
      </c>
      <c r="C130" s="204">
        <v>84</v>
      </c>
      <c r="D130" s="204">
        <v>37</v>
      </c>
      <c r="E130" s="204">
        <v>92</v>
      </c>
      <c r="F130" s="205">
        <f>3+35</f>
        <v>38</v>
      </c>
    </row>
    <row r="131" spans="1:6" ht="14.25" customHeight="1">
      <c r="A131" s="598"/>
      <c r="B131" s="115" t="s">
        <v>286</v>
      </c>
      <c r="C131" s="204">
        <v>6</v>
      </c>
      <c r="D131" s="204">
        <v>3</v>
      </c>
      <c r="E131" s="204">
        <v>6</v>
      </c>
      <c r="F131" s="205">
        <v>3</v>
      </c>
    </row>
    <row r="132" spans="1:6" ht="14.25" customHeight="1">
      <c r="A132" s="595" t="s">
        <v>228</v>
      </c>
      <c r="B132" s="115" t="s">
        <v>285</v>
      </c>
      <c r="C132" s="204">
        <v>134</v>
      </c>
      <c r="D132" s="204">
        <f>9+40</f>
        <v>49</v>
      </c>
      <c r="E132" s="204">
        <v>180</v>
      </c>
      <c r="F132" s="205">
        <f>6+78</f>
        <v>84</v>
      </c>
    </row>
    <row r="133" spans="1:6" ht="14.25" customHeight="1">
      <c r="A133" s="595"/>
      <c r="B133" s="115" t="s">
        <v>286</v>
      </c>
      <c r="C133" s="204">
        <v>27</v>
      </c>
      <c r="D133" s="204">
        <v>9</v>
      </c>
      <c r="E133" s="204">
        <v>22</v>
      </c>
      <c r="F133" s="205">
        <v>6</v>
      </c>
    </row>
    <row r="134" spans="1:6" ht="14.25" customHeight="1">
      <c r="A134" s="594" t="s">
        <v>173</v>
      </c>
      <c r="B134" s="115" t="s">
        <v>285</v>
      </c>
      <c r="C134" s="204">
        <v>214</v>
      </c>
      <c r="D134" s="204">
        <f>8+61</f>
        <v>69</v>
      </c>
      <c r="E134" s="204">
        <v>171</v>
      </c>
      <c r="F134" s="205">
        <f>8+73</f>
        <v>81</v>
      </c>
    </row>
    <row r="135" spans="1:6" ht="14.25" customHeight="1">
      <c r="A135" s="594"/>
      <c r="B135" s="115" t="s">
        <v>286</v>
      </c>
      <c r="C135" s="204">
        <v>20</v>
      </c>
      <c r="D135" s="204">
        <v>8</v>
      </c>
      <c r="E135" s="204">
        <v>21</v>
      </c>
      <c r="F135" s="205">
        <v>8</v>
      </c>
    </row>
    <row r="136" spans="1:6" ht="14.25" customHeight="1">
      <c r="A136" s="594" t="s">
        <v>25</v>
      </c>
      <c r="B136" s="115" t="s">
        <v>285</v>
      </c>
      <c r="C136" s="204">
        <v>125</v>
      </c>
      <c r="D136" s="204">
        <f>7+15</f>
        <v>22</v>
      </c>
      <c r="E136" s="204">
        <v>123</v>
      </c>
      <c r="F136" s="205">
        <f>7+15</f>
        <v>22</v>
      </c>
    </row>
    <row r="137" spans="1:6" ht="14.25" customHeight="1">
      <c r="A137" s="594"/>
      <c r="B137" s="115" t="s">
        <v>286</v>
      </c>
      <c r="C137" s="204">
        <v>35</v>
      </c>
      <c r="D137" s="204">
        <v>7</v>
      </c>
      <c r="E137" s="204">
        <v>37</v>
      </c>
      <c r="F137" s="205">
        <v>7</v>
      </c>
    </row>
    <row r="138" spans="1:6" ht="14.25" customHeight="1">
      <c r="A138" s="594" t="s">
        <v>174</v>
      </c>
      <c r="B138" s="115" t="s">
        <v>285</v>
      </c>
      <c r="C138" s="204">
        <v>100</v>
      </c>
      <c r="D138" s="204">
        <f>4+35</f>
        <v>39</v>
      </c>
      <c r="E138" s="204">
        <v>77</v>
      </c>
      <c r="F138" s="205">
        <f>4+26</f>
        <v>30</v>
      </c>
    </row>
    <row r="139" spans="1:6" ht="14.25" customHeight="1">
      <c r="A139" s="594"/>
      <c r="B139" s="115" t="s">
        <v>286</v>
      </c>
      <c r="C139" s="204">
        <v>10</v>
      </c>
      <c r="D139" s="204">
        <v>4</v>
      </c>
      <c r="E139" s="204">
        <v>10</v>
      </c>
      <c r="F139" s="205">
        <v>4</v>
      </c>
    </row>
    <row r="140" spans="1:6" ht="14.25" customHeight="1">
      <c r="A140" s="595" t="s">
        <v>254</v>
      </c>
      <c r="B140" s="115" t="s">
        <v>285</v>
      </c>
      <c r="C140" s="204">
        <v>111</v>
      </c>
      <c r="D140" s="204">
        <v>17</v>
      </c>
      <c r="E140" s="204">
        <v>76</v>
      </c>
      <c r="F140" s="205" t="s">
        <v>1074</v>
      </c>
    </row>
    <row r="141" spans="1:6" ht="14.25" customHeight="1">
      <c r="A141" s="595"/>
      <c r="B141" s="115" t="s">
        <v>286</v>
      </c>
      <c r="C141" s="204">
        <v>2</v>
      </c>
      <c r="D141" s="171" t="s">
        <v>1074</v>
      </c>
      <c r="E141" s="204">
        <v>13</v>
      </c>
      <c r="F141" s="205" t="s">
        <v>1074</v>
      </c>
    </row>
    <row r="142" spans="1:6" ht="14.25" customHeight="1">
      <c r="A142" s="594" t="s">
        <v>177</v>
      </c>
      <c r="B142" s="115" t="s">
        <v>285</v>
      </c>
      <c r="C142" s="204">
        <v>208</v>
      </c>
      <c r="D142" s="204">
        <f>5+101</f>
        <v>106</v>
      </c>
      <c r="E142" s="204">
        <v>232</v>
      </c>
      <c r="F142" s="205">
        <f>3+114</f>
        <v>117</v>
      </c>
    </row>
    <row r="143" spans="1:6" ht="14.25" customHeight="1">
      <c r="A143" s="594"/>
      <c r="B143" s="115" t="s">
        <v>286</v>
      </c>
      <c r="C143" s="204">
        <v>13</v>
      </c>
      <c r="D143" s="204">
        <v>5</v>
      </c>
      <c r="E143" s="204">
        <v>10</v>
      </c>
      <c r="F143" s="205">
        <v>3</v>
      </c>
    </row>
    <row r="144" spans="1:6" ht="14.25" customHeight="1">
      <c r="A144" s="594" t="s">
        <v>178</v>
      </c>
      <c r="B144" s="115" t="s">
        <v>285</v>
      </c>
      <c r="C144" s="204">
        <v>46</v>
      </c>
      <c r="D144" s="204">
        <f>3+13</f>
        <v>16</v>
      </c>
      <c r="E144" s="204">
        <v>36</v>
      </c>
      <c r="F144" s="205">
        <f>3+12</f>
        <v>15</v>
      </c>
    </row>
    <row r="145" spans="1:6" ht="14.25" customHeight="1">
      <c r="A145" s="594"/>
      <c r="B145" s="115" t="s">
        <v>286</v>
      </c>
      <c r="C145" s="204">
        <v>6</v>
      </c>
      <c r="D145" s="204">
        <v>3</v>
      </c>
      <c r="E145" s="204">
        <v>6</v>
      </c>
      <c r="F145" s="205">
        <v>3</v>
      </c>
    </row>
    <row r="146" spans="1:6" ht="14.25" customHeight="1">
      <c r="A146" s="594" t="s">
        <v>179</v>
      </c>
      <c r="B146" s="115" t="s">
        <v>285</v>
      </c>
      <c r="C146" s="204">
        <v>32</v>
      </c>
      <c r="D146" s="204">
        <f>2+15</f>
        <v>17</v>
      </c>
      <c r="E146" s="204">
        <v>37</v>
      </c>
      <c r="F146" s="205">
        <f>4+13</f>
        <v>17</v>
      </c>
    </row>
    <row r="147" spans="1:6" ht="14.25" customHeight="1">
      <c r="A147" s="594"/>
      <c r="B147" s="115" t="s">
        <v>286</v>
      </c>
      <c r="C147" s="204">
        <v>5</v>
      </c>
      <c r="D147" s="204">
        <v>2</v>
      </c>
      <c r="E147" s="204">
        <v>12</v>
      </c>
      <c r="F147" s="205">
        <v>4</v>
      </c>
    </row>
    <row r="148" spans="1:6" ht="14.25" customHeight="1">
      <c r="A148" s="594" t="s">
        <v>180</v>
      </c>
      <c r="B148" s="115" t="s">
        <v>285</v>
      </c>
      <c r="C148" s="204">
        <v>124</v>
      </c>
      <c r="D148" s="204">
        <f>2+15</f>
        <v>17</v>
      </c>
      <c r="E148" s="204">
        <v>140</v>
      </c>
      <c r="F148" s="205">
        <f>2+19</f>
        <v>21</v>
      </c>
    </row>
    <row r="149" spans="1:6" ht="14.25" customHeight="1">
      <c r="A149" s="594"/>
      <c r="B149" s="115" t="s">
        <v>286</v>
      </c>
      <c r="C149" s="204">
        <v>28</v>
      </c>
      <c r="D149" s="171">
        <v>2</v>
      </c>
      <c r="E149" s="204">
        <v>27</v>
      </c>
      <c r="F149" s="205">
        <v>2</v>
      </c>
    </row>
    <row r="150" spans="1:6" ht="14.25" customHeight="1">
      <c r="A150" s="594" t="s">
        <v>184</v>
      </c>
      <c r="B150" s="115" t="s">
        <v>285</v>
      </c>
      <c r="C150" s="204">
        <v>757</v>
      </c>
      <c r="D150" s="204">
        <f>3+174</f>
        <v>177</v>
      </c>
      <c r="E150" s="204">
        <v>310</v>
      </c>
      <c r="F150" s="205">
        <f>4+85</f>
        <v>89</v>
      </c>
    </row>
    <row r="151" spans="1:6" ht="14.25" customHeight="1">
      <c r="A151" s="594"/>
      <c r="B151" s="115" t="s">
        <v>286</v>
      </c>
      <c r="C151" s="204">
        <v>8</v>
      </c>
      <c r="D151" s="204">
        <v>3</v>
      </c>
      <c r="E151" s="204">
        <v>11</v>
      </c>
      <c r="F151" s="205">
        <v>4</v>
      </c>
    </row>
    <row r="152" spans="1:6" ht="14.25" customHeight="1">
      <c r="A152" s="291"/>
      <c r="B152" s="115"/>
      <c r="C152" s="223"/>
      <c r="D152" s="223"/>
      <c r="E152" s="223"/>
      <c r="F152" s="223"/>
    </row>
    <row r="153" spans="1:6" ht="24" customHeight="1">
      <c r="A153" s="562" t="s">
        <v>1247</v>
      </c>
      <c r="B153" s="562"/>
      <c r="C153" s="562"/>
      <c r="D153" s="562"/>
      <c r="E153" s="562"/>
      <c r="F153" s="562"/>
    </row>
    <row r="154" spans="1:6" ht="24" customHeight="1">
      <c r="A154" s="561" t="s">
        <v>1248</v>
      </c>
      <c r="B154" s="561"/>
      <c r="C154" s="561"/>
      <c r="D154" s="561"/>
      <c r="E154" s="561"/>
      <c r="F154" s="561"/>
    </row>
  </sheetData>
  <mergeCells count="81">
    <mergeCell ref="A146:A147"/>
    <mergeCell ref="A148:A149"/>
    <mergeCell ref="A150:A151"/>
    <mergeCell ref="A153:F153"/>
    <mergeCell ref="A154:F154"/>
    <mergeCell ref="A144:A145"/>
    <mergeCell ref="A122:A123"/>
    <mergeCell ref="A126:A127"/>
    <mergeCell ref="A128:A129"/>
    <mergeCell ref="A132:A133"/>
    <mergeCell ref="A134:A135"/>
    <mergeCell ref="A136:A137"/>
    <mergeCell ref="A138:A139"/>
    <mergeCell ref="A140:A141"/>
    <mergeCell ref="A142:A143"/>
    <mergeCell ref="A130:A131"/>
    <mergeCell ref="A124:A125"/>
    <mergeCell ref="A120:A121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8:A119"/>
    <mergeCell ref="A116:A117"/>
    <mergeCell ref="A98:A99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74:A7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48:A49"/>
    <mergeCell ref="A50:A51"/>
    <mergeCell ref="A52:A53"/>
    <mergeCell ref="A54:A55"/>
    <mergeCell ref="A32:A33"/>
    <mergeCell ref="A46:A47"/>
    <mergeCell ref="A34:A35"/>
    <mergeCell ref="A36:A37"/>
    <mergeCell ref="A38:A39"/>
    <mergeCell ref="A40:A41"/>
    <mergeCell ref="A42:A43"/>
    <mergeCell ref="A44:A45"/>
    <mergeCell ref="A30:A31"/>
    <mergeCell ref="A6:A7"/>
    <mergeCell ref="A8:A9"/>
    <mergeCell ref="A10:A11"/>
    <mergeCell ref="A14:A15"/>
    <mergeCell ref="A16:A17"/>
    <mergeCell ref="A18:A19"/>
    <mergeCell ref="A20:A21"/>
    <mergeCell ref="A24:A25"/>
    <mergeCell ref="A26:A27"/>
    <mergeCell ref="A28:A29"/>
    <mergeCell ref="A12:A13"/>
    <mergeCell ref="A22:A23"/>
    <mergeCell ref="A1:F1"/>
    <mergeCell ref="A2:F2"/>
    <mergeCell ref="E3:F3"/>
    <mergeCell ref="A4:B5"/>
    <mergeCell ref="C4:D4"/>
    <mergeCell ref="E4:F4"/>
  </mergeCells>
  <conditionalFormatting sqref="A30:A31">
    <cfRule type="cellIs" dxfId="122" priority="13" operator="equal">
      <formula>0</formula>
    </cfRule>
  </conditionalFormatting>
  <conditionalFormatting sqref="A82:A83">
    <cfRule type="cellIs" dxfId="121" priority="12" operator="equal">
      <formula>0</formula>
    </cfRule>
  </conditionalFormatting>
  <conditionalFormatting sqref="A118:A119">
    <cfRule type="cellIs" dxfId="120" priority="11" operator="equal">
      <formula>0</formula>
    </cfRule>
  </conditionalFormatting>
  <conditionalFormatting sqref="A12:A13">
    <cfRule type="cellIs" dxfId="119" priority="10" operator="equal">
      <formula>0</formula>
    </cfRule>
  </conditionalFormatting>
  <conditionalFormatting sqref="A32:A33">
    <cfRule type="cellIs" dxfId="118" priority="9" operator="equal">
      <formula>0</formula>
    </cfRule>
  </conditionalFormatting>
  <conditionalFormatting sqref="A130:A131">
    <cfRule type="cellIs" dxfId="117" priority="7" operator="equal">
      <formula>0</formula>
    </cfRule>
  </conditionalFormatting>
  <conditionalFormatting sqref="A34:A35">
    <cfRule type="cellIs" dxfId="116" priority="6" operator="equal">
      <formula>0</formula>
    </cfRule>
  </conditionalFormatting>
  <conditionalFormatting sqref="A46:A47">
    <cfRule type="cellIs" dxfId="115" priority="5" operator="equal">
      <formula>0</formula>
    </cfRule>
  </conditionalFormatting>
  <conditionalFormatting sqref="A116:A117">
    <cfRule type="cellIs" dxfId="114" priority="3" operator="equal">
      <formula>0</formula>
    </cfRule>
  </conditionalFormatting>
  <conditionalFormatting sqref="A124:A125">
    <cfRule type="cellIs" dxfId="113" priority="2" operator="equal">
      <formula>0</formula>
    </cfRule>
  </conditionalFormatting>
  <conditionalFormatting sqref="A116:A117">
    <cfRule type="cellIs" dxfId="112" priority="4" operator="equal">
      <formula>0</formula>
    </cfRule>
  </conditionalFormatting>
  <conditionalFormatting sqref="A22:A23">
    <cfRule type="cellIs" dxfId="111" priority="1" operator="equal">
      <formula>0</formula>
    </cfRule>
  </conditionalFormatting>
  <hyperlinks>
    <hyperlink ref="E3" location="'Spis tablic'!A4" display="Powrót do spisu treści" xr:uid="{00000000-0004-0000-1C00-000000000000}"/>
    <hyperlink ref="E3:F3" location="'Spis tablic  List of tables'!A59" display="'Spis tablic  List of tables'!A59" xr:uid="{00000000-0004-0000-1C00-000001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35"/>
  <sheetViews>
    <sheetView zoomScaleNormal="100" workbookViewId="0">
      <pane ySplit="4" topLeftCell="A5" activePane="bottomLeft" state="frozen"/>
      <selection sqref="A1:Q1"/>
      <selection pane="bottomLeft"/>
    </sheetView>
  </sheetViews>
  <sheetFormatPr defaultColWidth="9.1796875" defaultRowHeight="10"/>
  <cols>
    <col min="1" max="1" width="28.453125" style="30" customWidth="1"/>
    <col min="2" max="9" width="10" style="30" customWidth="1"/>
    <col min="10" max="10" width="9.453125" style="30" bestFit="1" customWidth="1"/>
    <col min="11" max="16384" width="9.1796875" style="30"/>
  </cols>
  <sheetData>
    <row r="1" spans="1:14" s="22" customFormat="1" ht="14.25" customHeight="1">
      <c r="A1" s="20" t="s">
        <v>937</v>
      </c>
      <c r="B1" s="20"/>
      <c r="C1" s="20"/>
      <c r="D1" s="20"/>
      <c r="E1" s="20"/>
      <c r="F1" s="20"/>
      <c r="G1" s="20"/>
      <c r="H1" s="20"/>
      <c r="I1" s="20"/>
      <c r="J1" s="21"/>
      <c r="K1" s="21"/>
    </row>
    <row r="2" spans="1:14" s="22" customFormat="1" ht="14.25" customHeight="1">
      <c r="A2" s="23" t="s">
        <v>938</v>
      </c>
      <c r="B2" s="23"/>
      <c r="C2" s="23"/>
      <c r="D2" s="23"/>
      <c r="E2" s="23"/>
      <c r="F2" s="23"/>
      <c r="G2" s="23"/>
      <c r="H2" s="23"/>
      <c r="I2" s="23"/>
      <c r="J2" s="21"/>
      <c r="K2" s="21"/>
    </row>
    <row r="3" spans="1:14" s="22" customFormat="1" ht="27.65" customHeight="1">
      <c r="A3" s="21"/>
      <c r="B3" s="24"/>
      <c r="C3" s="21"/>
      <c r="D3" s="21"/>
      <c r="E3" s="21"/>
      <c r="I3" s="536" t="s">
        <v>5</v>
      </c>
      <c r="J3" s="537"/>
      <c r="K3" s="21"/>
    </row>
    <row r="4" spans="1:14" s="29" customFormat="1" ht="24" customHeight="1">
      <c r="A4" s="25" t="s">
        <v>6</v>
      </c>
      <c r="B4" s="493">
        <v>2002</v>
      </c>
      <c r="C4" s="494">
        <v>2006</v>
      </c>
      <c r="D4" s="26">
        <v>2010</v>
      </c>
      <c r="E4" s="26">
        <v>2014</v>
      </c>
      <c r="F4" s="26">
        <v>2016</v>
      </c>
      <c r="G4" s="27">
        <v>2018</v>
      </c>
      <c r="H4" s="28">
        <v>2020</v>
      </c>
      <c r="I4" s="208">
        <v>2022</v>
      </c>
      <c r="J4" s="319">
        <v>2024</v>
      </c>
    </row>
    <row r="5" spans="1:14" ht="40.4" customHeight="1">
      <c r="A5" s="538" t="s">
        <v>7</v>
      </c>
      <c r="B5" s="538"/>
      <c r="C5" s="538"/>
      <c r="D5" s="538"/>
      <c r="E5" s="538"/>
      <c r="F5" s="538"/>
      <c r="G5" s="538"/>
      <c r="H5" s="538"/>
      <c r="I5" s="538"/>
      <c r="J5" s="538"/>
      <c r="K5" s="29"/>
    </row>
    <row r="6" spans="1:14" ht="24" customHeight="1">
      <c r="A6" s="31" t="s">
        <v>8</v>
      </c>
      <c r="B6" s="234">
        <v>8798</v>
      </c>
      <c r="C6" s="234">
        <v>12983</v>
      </c>
      <c r="D6" s="234">
        <v>13278</v>
      </c>
      <c r="E6" s="234">
        <v>14009</v>
      </c>
      <c r="F6" s="234">
        <v>14858</v>
      </c>
      <c r="G6" s="235">
        <v>16414</v>
      </c>
      <c r="H6" s="218">
        <v>14245</v>
      </c>
      <c r="I6" s="218">
        <v>14476</v>
      </c>
      <c r="J6" s="218">
        <v>16612</v>
      </c>
      <c r="K6" s="33"/>
    </row>
    <row r="7" spans="1:14" ht="24" customHeight="1">
      <c r="A7" s="31" t="s">
        <v>9</v>
      </c>
      <c r="B7" s="234">
        <v>803</v>
      </c>
      <c r="C7" s="234">
        <v>1002.3</v>
      </c>
      <c r="D7" s="234">
        <v>895.4</v>
      </c>
      <c r="E7" s="234">
        <v>941</v>
      </c>
      <c r="F7" s="234">
        <v>1019.6</v>
      </c>
      <c r="G7" s="235">
        <v>1169</v>
      </c>
      <c r="H7" s="218">
        <v>1040.9000000000001</v>
      </c>
      <c r="I7" s="218">
        <v>1098.9000000000001</v>
      </c>
      <c r="J7" s="218">
        <f>1395168/1000</f>
        <v>1395.1679999999999</v>
      </c>
      <c r="K7" s="33"/>
      <c r="L7" s="29"/>
      <c r="M7" s="29"/>
      <c r="N7" s="29"/>
    </row>
    <row r="8" spans="1:14" ht="33" customHeight="1">
      <c r="A8" s="34" t="s">
        <v>953</v>
      </c>
      <c r="B8" s="234">
        <v>674.6</v>
      </c>
      <c r="C8" s="234">
        <v>907.9</v>
      </c>
      <c r="D8" s="234">
        <v>861</v>
      </c>
      <c r="E8" s="234">
        <v>919.3</v>
      </c>
      <c r="F8" s="234">
        <v>1030.2</v>
      </c>
      <c r="G8" s="235">
        <v>1179.9000000000001</v>
      </c>
      <c r="H8" s="218">
        <v>1010.7</v>
      </c>
      <c r="I8" s="218">
        <v>1111.9000000000001</v>
      </c>
      <c r="J8" s="218">
        <f>1446609/1000</f>
        <v>1446.6089999999999</v>
      </c>
      <c r="K8" s="33"/>
      <c r="L8" s="29"/>
      <c r="M8" s="29"/>
      <c r="N8" s="29"/>
    </row>
    <row r="9" spans="1:14" ht="24" customHeight="1">
      <c r="A9" s="35" t="s">
        <v>10</v>
      </c>
      <c r="B9" s="234">
        <v>170.7</v>
      </c>
      <c r="C9" s="234">
        <v>238.3</v>
      </c>
      <c r="D9" s="234">
        <v>217.9</v>
      </c>
      <c r="E9" s="234">
        <v>229.1</v>
      </c>
      <c r="F9" s="234">
        <v>259</v>
      </c>
      <c r="G9" s="235">
        <v>304.3</v>
      </c>
      <c r="H9" s="218">
        <v>262.5</v>
      </c>
      <c r="I9" s="218">
        <v>305.89999999999998</v>
      </c>
      <c r="J9" s="218">
        <f>404643/1000</f>
        <v>404.64299999999997</v>
      </c>
      <c r="K9" s="33"/>
      <c r="L9" s="29"/>
      <c r="M9" s="29"/>
      <c r="N9" s="29"/>
    </row>
    <row r="10" spans="1:14" ht="24" customHeight="1">
      <c r="A10" s="36" t="s">
        <v>11</v>
      </c>
      <c r="B10" s="234">
        <v>512.70000000000005</v>
      </c>
      <c r="C10" s="234">
        <v>676</v>
      </c>
      <c r="D10" s="234">
        <v>614.6</v>
      </c>
      <c r="E10" s="234">
        <v>644.4</v>
      </c>
      <c r="F10" s="234">
        <v>734.9</v>
      </c>
      <c r="G10" s="235">
        <v>838.3</v>
      </c>
      <c r="H10" s="218">
        <v>710.3</v>
      </c>
      <c r="I10" s="218">
        <v>789.1</v>
      </c>
      <c r="J10" s="218">
        <f>1049701/1000</f>
        <v>1049.701</v>
      </c>
      <c r="K10" s="33"/>
      <c r="L10" s="29"/>
      <c r="M10" s="29"/>
      <c r="N10" s="29"/>
    </row>
    <row r="11" spans="1:14" ht="24" customHeight="1">
      <c r="A11" s="34" t="s">
        <v>12</v>
      </c>
      <c r="B11" s="234">
        <v>8232</v>
      </c>
      <c r="C11" s="234">
        <v>10556</v>
      </c>
      <c r="D11" s="234">
        <v>12352</v>
      </c>
      <c r="E11" s="234">
        <v>15739</v>
      </c>
      <c r="F11" s="234">
        <v>24652</v>
      </c>
      <c r="G11" s="235">
        <v>31187</v>
      </c>
      <c r="H11" s="183">
        <v>30945</v>
      </c>
      <c r="I11" s="183">
        <v>33079</v>
      </c>
      <c r="J11" s="183">
        <v>41674</v>
      </c>
      <c r="K11" s="33"/>
      <c r="L11" s="29"/>
      <c r="M11" s="29"/>
      <c r="N11" s="29"/>
    </row>
    <row r="12" spans="1:14" ht="24" customHeight="1">
      <c r="A12" s="34" t="s">
        <v>13</v>
      </c>
      <c r="B12" s="234">
        <v>14846</v>
      </c>
      <c r="C12" s="234">
        <v>21373</v>
      </c>
      <c r="D12" s="234">
        <v>23063</v>
      </c>
      <c r="E12" s="234">
        <v>24046</v>
      </c>
      <c r="F12" s="234">
        <v>21103</v>
      </c>
      <c r="G12" s="235">
        <v>22126</v>
      </c>
      <c r="H12" s="183">
        <v>17383</v>
      </c>
      <c r="I12" s="183">
        <v>18107</v>
      </c>
      <c r="J12" s="183">
        <v>21953</v>
      </c>
      <c r="K12" s="33"/>
    </row>
    <row r="13" spans="1:14" ht="39.65" customHeight="1">
      <c r="A13" s="38" t="s">
        <v>14</v>
      </c>
      <c r="B13" s="234">
        <v>9485</v>
      </c>
      <c r="C13" s="234">
        <v>13808</v>
      </c>
      <c r="D13" s="234">
        <v>11215</v>
      </c>
      <c r="E13" s="234">
        <v>9212</v>
      </c>
      <c r="F13" s="234">
        <v>8761</v>
      </c>
      <c r="G13" s="235">
        <v>8955</v>
      </c>
      <c r="H13" s="183">
        <v>7068</v>
      </c>
      <c r="I13" s="183">
        <v>7483</v>
      </c>
      <c r="J13" s="183">
        <v>8967</v>
      </c>
      <c r="K13" s="33"/>
    </row>
    <row r="14" spans="1:14" ht="40.4" customHeight="1">
      <c r="A14" s="538" t="s">
        <v>15</v>
      </c>
      <c r="B14" s="538"/>
      <c r="C14" s="538"/>
      <c r="D14" s="538"/>
      <c r="E14" s="538"/>
      <c r="F14" s="538"/>
      <c r="G14" s="538"/>
      <c r="H14" s="538"/>
      <c r="I14" s="538"/>
      <c r="J14" s="538"/>
      <c r="K14" s="29"/>
    </row>
    <row r="15" spans="1:14" ht="24" customHeight="1">
      <c r="A15" s="31" t="s">
        <v>16</v>
      </c>
      <c r="B15" s="237">
        <v>12115</v>
      </c>
      <c r="C15" s="237">
        <v>12655</v>
      </c>
      <c r="D15" s="237">
        <v>14388</v>
      </c>
      <c r="E15" s="237">
        <v>18155</v>
      </c>
      <c r="F15" s="237">
        <v>24292</v>
      </c>
      <c r="G15" s="227">
        <v>29758</v>
      </c>
      <c r="H15" s="236">
        <v>26362</v>
      </c>
      <c r="I15" s="238">
        <v>34789</v>
      </c>
      <c r="J15" s="238">
        <v>45331</v>
      </c>
      <c r="K15" s="29"/>
    </row>
    <row r="16" spans="1:14" ht="24" customHeight="1">
      <c r="A16" s="31" t="s">
        <v>17</v>
      </c>
      <c r="B16" s="234">
        <v>18623</v>
      </c>
      <c r="C16" s="234">
        <v>24979</v>
      </c>
      <c r="D16" s="234">
        <v>31009</v>
      </c>
      <c r="E16" s="234">
        <v>36039</v>
      </c>
      <c r="F16" s="234">
        <v>43443</v>
      </c>
      <c r="G16" s="235">
        <v>57945</v>
      </c>
      <c r="H16" s="218">
        <v>46166</v>
      </c>
      <c r="I16" s="218">
        <v>57619</v>
      </c>
      <c r="J16" s="218">
        <v>65087</v>
      </c>
      <c r="K16" s="33"/>
    </row>
    <row r="17" spans="1:11" ht="24" customHeight="1">
      <c r="A17" s="31" t="s">
        <v>18</v>
      </c>
      <c r="B17" s="234">
        <v>52594</v>
      </c>
      <c r="C17" s="234">
        <v>61348</v>
      </c>
      <c r="D17" s="234">
        <v>49628</v>
      </c>
      <c r="E17" s="234">
        <v>44275</v>
      </c>
      <c r="F17" s="234">
        <v>44666</v>
      </c>
      <c r="G17" s="235">
        <v>47135</v>
      </c>
      <c r="H17" s="218">
        <v>38784</v>
      </c>
      <c r="I17" s="218">
        <v>44649</v>
      </c>
      <c r="J17" s="218">
        <v>51991</v>
      </c>
      <c r="K17" s="33"/>
    </row>
    <row r="18" spans="1:11" ht="24" customHeight="1">
      <c r="A18" s="31" t="s">
        <v>19</v>
      </c>
      <c r="B18" s="234">
        <v>59430</v>
      </c>
      <c r="C18" s="234">
        <v>69400</v>
      </c>
      <c r="D18" s="234">
        <v>50604</v>
      </c>
      <c r="E18" s="234">
        <v>42817</v>
      </c>
      <c r="F18" s="234">
        <v>43785</v>
      </c>
      <c r="G18" s="235">
        <v>47126</v>
      </c>
      <c r="H18" s="218">
        <v>41164</v>
      </c>
      <c r="I18" s="218">
        <v>44127</v>
      </c>
      <c r="J18" s="218">
        <v>50659</v>
      </c>
      <c r="K18" s="33"/>
    </row>
    <row r="19" spans="1:11" ht="24" customHeight="1">
      <c r="A19" s="31" t="s">
        <v>20</v>
      </c>
      <c r="B19" s="234">
        <v>246211</v>
      </c>
      <c r="C19" s="234">
        <v>356348</v>
      </c>
      <c r="D19" s="234">
        <v>344938</v>
      </c>
      <c r="E19" s="234">
        <v>393168</v>
      </c>
      <c r="F19" s="234">
        <v>452369</v>
      </c>
      <c r="G19" s="235">
        <v>504542</v>
      </c>
      <c r="H19" s="218">
        <v>424383</v>
      </c>
      <c r="I19" s="218">
        <v>443525</v>
      </c>
      <c r="J19" s="218">
        <v>581773</v>
      </c>
      <c r="K19" s="33"/>
    </row>
    <row r="20" spans="1:11" ht="24" customHeight="1">
      <c r="A20" s="31" t="s">
        <v>21</v>
      </c>
      <c r="B20" s="234">
        <v>31413</v>
      </c>
      <c r="C20" s="234">
        <v>41505</v>
      </c>
      <c r="D20" s="234">
        <v>40251</v>
      </c>
      <c r="E20" s="234">
        <v>37023</v>
      </c>
      <c r="F20" s="234">
        <v>40117</v>
      </c>
      <c r="G20" s="235">
        <v>43117</v>
      </c>
      <c r="H20" s="218">
        <v>33431</v>
      </c>
      <c r="I20" s="218">
        <v>32031</v>
      </c>
      <c r="J20" s="218">
        <v>36365</v>
      </c>
      <c r="K20" s="33"/>
    </row>
    <row r="21" spans="1:11" ht="24" customHeight="1">
      <c r="A21" s="31" t="s">
        <v>22</v>
      </c>
      <c r="B21" s="234">
        <v>58448</v>
      </c>
      <c r="C21" s="234">
        <v>111790</v>
      </c>
      <c r="D21" s="234">
        <v>99435</v>
      </c>
      <c r="E21" s="234">
        <v>89557</v>
      </c>
      <c r="F21" s="234">
        <v>86548</v>
      </c>
      <c r="G21" s="235">
        <v>86166</v>
      </c>
      <c r="H21" s="218">
        <v>67776</v>
      </c>
      <c r="I21" s="218">
        <v>74133</v>
      </c>
      <c r="J21" s="218">
        <v>93227</v>
      </c>
      <c r="K21" s="33"/>
    </row>
    <row r="22" spans="1:11" ht="24" customHeight="1">
      <c r="A22" s="31" t="s">
        <v>23</v>
      </c>
      <c r="B22" s="234">
        <v>19806</v>
      </c>
      <c r="C22" s="234">
        <v>29271</v>
      </c>
      <c r="D22" s="234">
        <v>32232</v>
      </c>
      <c r="E22" s="234">
        <v>39586</v>
      </c>
      <c r="F22" s="234">
        <v>44113</v>
      </c>
      <c r="G22" s="235">
        <v>54727</v>
      </c>
      <c r="H22" s="218">
        <v>48407</v>
      </c>
      <c r="I22" s="218">
        <v>57242</v>
      </c>
      <c r="J22" s="218">
        <v>70952</v>
      </c>
      <c r="K22" s="33"/>
    </row>
    <row r="23" spans="1:11" ht="24" customHeight="1">
      <c r="A23" s="31" t="s">
        <v>24</v>
      </c>
      <c r="B23" s="234">
        <v>8645</v>
      </c>
      <c r="C23" s="234">
        <v>19822</v>
      </c>
      <c r="D23" s="234">
        <v>16802</v>
      </c>
      <c r="E23" s="234">
        <v>16975</v>
      </c>
      <c r="F23" s="234">
        <v>31494</v>
      </c>
      <c r="G23" s="235">
        <v>48265</v>
      </c>
      <c r="H23" s="218">
        <v>71593</v>
      </c>
      <c r="I23" s="218">
        <v>87637</v>
      </c>
      <c r="J23" s="218">
        <v>122887</v>
      </c>
      <c r="K23" s="33"/>
    </row>
    <row r="24" spans="1:11" ht="24" customHeight="1">
      <c r="A24" s="31" t="s">
        <v>25</v>
      </c>
      <c r="B24" s="234">
        <v>44372</v>
      </c>
      <c r="C24" s="234">
        <v>53111</v>
      </c>
      <c r="D24" s="234">
        <v>39399</v>
      </c>
      <c r="E24" s="234">
        <v>30842</v>
      </c>
      <c r="F24" s="234">
        <v>29474</v>
      </c>
      <c r="G24" s="235">
        <v>29929</v>
      </c>
      <c r="H24" s="218">
        <v>23215</v>
      </c>
      <c r="I24" s="218">
        <v>23804</v>
      </c>
      <c r="J24" s="218">
        <v>27881</v>
      </c>
      <c r="K24" s="33"/>
    </row>
    <row r="25" spans="1:11" ht="40.4" customHeight="1">
      <c r="A25" s="538" t="s">
        <v>26</v>
      </c>
      <c r="B25" s="538"/>
      <c r="C25" s="538"/>
      <c r="D25" s="538"/>
      <c r="E25" s="538"/>
      <c r="F25" s="538"/>
      <c r="G25" s="538"/>
      <c r="H25" s="538"/>
      <c r="I25" s="538"/>
      <c r="J25" s="538"/>
      <c r="K25" s="29"/>
    </row>
    <row r="26" spans="1:11" ht="24" customHeight="1">
      <c r="A26" s="31" t="s">
        <v>27</v>
      </c>
      <c r="B26" s="234">
        <v>5625</v>
      </c>
      <c r="C26" s="234">
        <v>6100</v>
      </c>
      <c r="D26" s="234">
        <v>8560</v>
      </c>
      <c r="E26" s="234">
        <v>10036</v>
      </c>
      <c r="F26" s="234">
        <v>9105</v>
      </c>
      <c r="G26" s="235">
        <v>10573</v>
      </c>
      <c r="H26" s="218">
        <v>10703</v>
      </c>
      <c r="I26" s="183">
        <v>10389</v>
      </c>
      <c r="J26" s="439">
        <v>9582</v>
      </c>
      <c r="K26" s="33"/>
    </row>
    <row r="27" spans="1:11" ht="24" customHeight="1">
      <c r="A27" s="31" t="s">
        <v>28</v>
      </c>
      <c r="B27" s="234">
        <v>34108</v>
      </c>
      <c r="C27" s="234">
        <v>40906</v>
      </c>
      <c r="D27" s="234">
        <v>49772</v>
      </c>
      <c r="E27" s="234">
        <v>46124</v>
      </c>
      <c r="F27" s="234">
        <v>45807</v>
      </c>
      <c r="G27" s="235">
        <v>39844</v>
      </c>
      <c r="H27" s="183">
        <v>40413</v>
      </c>
      <c r="I27" s="183">
        <v>43375</v>
      </c>
      <c r="J27" s="438">
        <v>35596</v>
      </c>
      <c r="K27" s="33"/>
    </row>
    <row r="28" spans="1:11" ht="40.4" customHeight="1">
      <c r="A28" s="538" t="s">
        <v>29</v>
      </c>
      <c r="B28" s="538"/>
      <c r="C28" s="538"/>
      <c r="D28" s="538"/>
      <c r="E28" s="538"/>
      <c r="F28" s="538"/>
      <c r="G28" s="538"/>
      <c r="H28" s="538"/>
      <c r="I28" s="538"/>
      <c r="J28" s="538"/>
      <c r="K28" s="29"/>
    </row>
    <row r="29" spans="1:11" ht="24" customHeight="1">
      <c r="A29" s="31" t="s">
        <v>30</v>
      </c>
      <c r="B29" s="234">
        <v>236</v>
      </c>
      <c r="C29" s="234">
        <v>240</v>
      </c>
      <c r="D29" s="234">
        <v>237</v>
      </c>
      <c r="E29" s="234">
        <v>259</v>
      </c>
      <c r="F29" s="234">
        <v>240</v>
      </c>
      <c r="G29" s="235">
        <v>243</v>
      </c>
      <c r="H29" s="218">
        <v>208</v>
      </c>
      <c r="I29" s="218">
        <v>214</v>
      </c>
      <c r="J29" s="438">
        <v>184</v>
      </c>
      <c r="K29" s="33"/>
    </row>
    <row r="30" spans="1:11" ht="34.4" customHeight="1">
      <c r="A30" s="249" t="s">
        <v>987</v>
      </c>
      <c r="B30" s="234">
        <v>8079</v>
      </c>
      <c r="C30" s="234">
        <v>8352</v>
      </c>
      <c r="D30" s="234">
        <v>8497</v>
      </c>
      <c r="E30" s="234">
        <v>7478</v>
      </c>
      <c r="F30" s="234">
        <v>6419</v>
      </c>
      <c r="G30" s="235">
        <v>6290</v>
      </c>
      <c r="H30" s="218">
        <v>5935</v>
      </c>
      <c r="I30" s="218">
        <v>6054</v>
      </c>
      <c r="J30" s="438">
        <v>5867</v>
      </c>
      <c r="K30" s="33"/>
    </row>
    <row r="31" spans="1:11" ht="40">
      <c r="A31" s="31" t="s">
        <v>31</v>
      </c>
      <c r="B31" s="234">
        <v>171</v>
      </c>
      <c r="C31" s="234">
        <v>215</v>
      </c>
      <c r="D31" s="234">
        <v>45</v>
      </c>
      <c r="E31" s="234">
        <v>43</v>
      </c>
      <c r="F31" s="234">
        <v>48</v>
      </c>
      <c r="G31" s="235">
        <v>27</v>
      </c>
      <c r="H31" s="218">
        <v>19</v>
      </c>
      <c r="I31" s="218">
        <v>27</v>
      </c>
      <c r="J31" s="438">
        <v>24</v>
      </c>
      <c r="K31" s="33"/>
    </row>
    <row r="32" spans="1:11" ht="30">
      <c r="A32" s="31" t="s">
        <v>32</v>
      </c>
      <c r="B32" s="234">
        <v>1067</v>
      </c>
      <c r="C32" s="234">
        <v>1146</v>
      </c>
      <c r="D32" s="234">
        <v>959</v>
      </c>
      <c r="E32" s="234">
        <v>758</v>
      </c>
      <c r="F32" s="234">
        <v>632</v>
      </c>
      <c r="G32" s="235">
        <v>577</v>
      </c>
      <c r="H32" s="218">
        <v>501</v>
      </c>
      <c r="I32" s="218">
        <v>443</v>
      </c>
      <c r="J32" s="438">
        <v>351</v>
      </c>
      <c r="K32" s="33"/>
    </row>
    <row r="33" spans="1:11" ht="14.2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34.75" customHeight="1">
      <c r="A34" s="534" t="s">
        <v>1382</v>
      </c>
      <c r="B34" s="534"/>
      <c r="C34" s="534"/>
      <c r="D34" s="534"/>
      <c r="E34" s="534"/>
      <c r="F34" s="534"/>
      <c r="G34" s="534"/>
      <c r="H34" s="534"/>
      <c r="I34" s="534"/>
      <c r="J34" s="534"/>
      <c r="K34" s="29"/>
    </row>
    <row r="35" spans="1:11" ht="36" customHeight="1">
      <c r="A35" s="535" t="s">
        <v>33</v>
      </c>
      <c r="B35" s="535"/>
      <c r="C35" s="535"/>
      <c r="D35" s="535"/>
      <c r="E35" s="535"/>
      <c r="F35" s="535"/>
      <c r="G35" s="535"/>
      <c r="H35" s="535"/>
      <c r="I35" s="535"/>
      <c r="J35" s="535"/>
      <c r="K35" s="29"/>
    </row>
  </sheetData>
  <mergeCells count="7">
    <mergeCell ref="A34:J34"/>
    <mergeCell ref="A35:J35"/>
    <mergeCell ref="I3:J3"/>
    <mergeCell ref="A5:J5"/>
    <mergeCell ref="A14:J14"/>
    <mergeCell ref="A25:J25"/>
    <mergeCell ref="A28:J28"/>
  </mergeCells>
  <hyperlinks>
    <hyperlink ref="I3" location="'SPIS TREŚCI'!A1" display="'SPIS TREŚCI'!A1" xr:uid="{00000000-0004-0000-0200-000000000000}"/>
    <hyperlink ref="I3:J3" location="'Spis tablic  List of tables'!A7" display="'Spis tablic  List of tables'!A7" xr:uid="{00000000-0004-0000-0200-000001000000}"/>
  </hyperlinks>
  <pageMargins left="0.7" right="0.7" top="0.75" bottom="0.75" header="0.3" footer="0.3"/>
  <pageSetup paperSize="9" scale="90" fitToWidth="0" fitToHeight="0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8B9B2-5065-4669-AF78-8E048D406994}">
  <dimension ref="A1:O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3" sqref="J3:M3"/>
    </sheetView>
  </sheetViews>
  <sheetFormatPr defaultRowHeight="14.5"/>
  <cols>
    <col min="1" max="3" width="18.453125" customWidth="1"/>
    <col min="4" max="4" width="15" customWidth="1"/>
    <col min="5" max="8" width="9.1796875" customWidth="1"/>
    <col min="9" max="13" width="5.54296875" customWidth="1"/>
  </cols>
  <sheetData>
    <row r="1" spans="1:15">
      <c r="A1" s="613" t="s">
        <v>1339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</row>
    <row r="2" spans="1:15">
      <c r="A2" s="614" t="s">
        <v>1350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</row>
    <row r="3" spans="1:15" ht="28.5" customHeight="1">
      <c r="D3" s="73"/>
      <c r="E3" s="73"/>
      <c r="F3" s="73"/>
      <c r="G3" s="73"/>
      <c r="H3" s="73"/>
      <c r="I3" s="73"/>
      <c r="J3" s="615" t="s">
        <v>5</v>
      </c>
      <c r="K3" s="615"/>
      <c r="L3" s="615"/>
      <c r="M3" s="615"/>
    </row>
    <row r="4" spans="1:15" ht="28.5" customHeight="1">
      <c r="A4" s="616" t="s">
        <v>377</v>
      </c>
      <c r="B4" s="543" t="s">
        <v>1349</v>
      </c>
      <c r="C4" s="624"/>
      <c r="D4" s="618" t="s">
        <v>1411</v>
      </c>
      <c r="E4" s="620" t="s">
        <v>1322</v>
      </c>
      <c r="F4" s="621"/>
      <c r="G4" s="621"/>
      <c r="H4" s="622"/>
      <c r="I4" s="623" t="s">
        <v>1323</v>
      </c>
      <c r="J4" s="623"/>
      <c r="K4" s="623"/>
      <c r="L4" s="623"/>
      <c r="M4" s="623"/>
      <c r="N4" s="467"/>
    </row>
    <row r="5" spans="1:15" ht="109.5" customHeight="1">
      <c r="A5" s="617"/>
      <c r="B5" s="511" t="s">
        <v>1412</v>
      </c>
      <c r="C5" s="512" t="s">
        <v>1413</v>
      </c>
      <c r="D5" s="619"/>
      <c r="E5" s="503" t="s">
        <v>1324</v>
      </c>
      <c r="F5" s="503" t="s">
        <v>380</v>
      </c>
      <c r="G5" s="503" t="s">
        <v>1321</v>
      </c>
      <c r="H5" s="503" t="s">
        <v>381</v>
      </c>
      <c r="I5" s="146">
        <v>4</v>
      </c>
      <c r="J5" s="146">
        <v>5</v>
      </c>
      <c r="K5" s="146">
        <v>6</v>
      </c>
      <c r="L5" s="146">
        <v>7</v>
      </c>
      <c r="M5" s="504">
        <v>8</v>
      </c>
      <c r="N5" s="140"/>
    </row>
    <row r="6" spans="1:15" ht="24" customHeight="1">
      <c r="A6" s="468" t="s">
        <v>1397</v>
      </c>
      <c r="B6" s="485">
        <v>329</v>
      </c>
      <c r="C6" s="485">
        <v>138</v>
      </c>
      <c r="D6" s="469">
        <v>214</v>
      </c>
      <c r="E6" s="469">
        <v>10</v>
      </c>
      <c r="F6" s="470">
        <v>1</v>
      </c>
      <c r="G6" s="471">
        <v>4</v>
      </c>
      <c r="H6" s="469">
        <v>5</v>
      </c>
      <c r="I6" s="469">
        <v>3</v>
      </c>
      <c r="J6" s="469">
        <v>8</v>
      </c>
      <c r="K6" s="469">
        <v>6</v>
      </c>
      <c r="L6" s="469">
        <v>6</v>
      </c>
      <c r="M6" s="469">
        <v>6</v>
      </c>
      <c r="N6" s="472"/>
    </row>
    <row r="7" spans="1:15" s="50" customFormat="1" ht="22.4" customHeight="1">
      <c r="A7" s="78" t="s">
        <v>1077</v>
      </c>
      <c r="B7" s="202"/>
      <c r="C7" s="202"/>
      <c r="D7" s="202"/>
      <c r="E7" s="202"/>
      <c r="F7" s="202"/>
      <c r="G7" s="491"/>
      <c r="H7" s="491"/>
      <c r="I7" s="491"/>
      <c r="J7" s="491"/>
      <c r="K7" s="491"/>
      <c r="L7" s="491"/>
    </row>
    <row r="8" spans="1:15" ht="24" customHeight="1">
      <c r="A8" s="473" t="s">
        <v>1325</v>
      </c>
      <c r="B8" s="486">
        <v>13</v>
      </c>
      <c r="C8" s="486">
        <v>5</v>
      </c>
      <c r="D8" s="433">
        <v>5</v>
      </c>
      <c r="E8" s="433">
        <v>1</v>
      </c>
      <c r="F8" s="471" t="s">
        <v>1331</v>
      </c>
      <c r="G8" s="471">
        <v>1</v>
      </c>
      <c r="H8" s="471" t="s">
        <v>1331</v>
      </c>
      <c r="I8" s="471" t="s">
        <v>1331</v>
      </c>
      <c r="J8" s="471" t="s">
        <v>1332</v>
      </c>
      <c r="K8" s="51" t="s">
        <v>1331</v>
      </c>
      <c r="L8" s="51" t="s">
        <v>1331</v>
      </c>
      <c r="M8" s="471" t="s">
        <v>1331</v>
      </c>
    </row>
    <row r="9" spans="1:15" s="437" customFormat="1" ht="21" customHeight="1">
      <c r="A9" s="505" t="s">
        <v>1406</v>
      </c>
      <c r="B9" s="506">
        <v>2</v>
      </c>
      <c r="C9" s="506">
        <v>1</v>
      </c>
      <c r="D9" s="506">
        <v>1</v>
      </c>
      <c r="E9" s="507" t="s">
        <v>1331</v>
      </c>
      <c r="F9" s="507" t="s">
        <v>1331</v>
      </c>
      <c r="G9" s="507" t="s">
        <v>1331</v>
      </c>
      <c r="H9" s="507" t="s">
        <v>1331</v>
      </c>
      <c r="I9" s="507" t="s">
        <v>1331</v>
      </c>
      <c r="J9" s="507" t="s">
        <v>1331</v>
      </c>
      <c r="K9" s="507" t="s">
        <v>1331</v>
      </c>
      <c r="L9" s="51" t="s">
        <v>1331</v>
      </c>
      <c r="M9" s="51" t="s">
        <v>1331</v>
      </c>
    </row>
    <row r="10" spans="1:15" s="437" customFormat="1" ht="21" customHeight="1">
      <c r="A10" s="508" t="s">
        <v>1407</v>
      </c>
      <c r="B10" s="509">
        <v>6</v>
      </c>
      <c r="C10" s="509">
        <v>6</v>
      </c>
      <c r="D10" s="509">
        <v>9</v>
      </c>
      <c r="E10" s="507" t="s">
        <v>1331</v>
      </c>
      <c r="F10" s="507" t="s">
        <v>1331</v>
      </c>
      <c r="G10" s="507" t="s">
        <v>1331</v>
      </c>
      <c r="H10" s="507" t="s">
        <v>1331</v>
      </c>
      <c r="I10" s="507" t="s">
        <v>1331</v>
      </c>
      <c r="J10" s="507" t="s">
        <v>1331</v>
      </c>
      <c r="K10" s="507" t="s">
        <v>1331</v>
      </c>
      <c r="L10" s="51" t="s">
        <v>1331</v>
      </c>
      <c r="M10" s="51" t="s">
        <v>1331</v>
      </c>
    </row>
    <row r="11" spans="1:15" s="437" customFormat="1" ht="21" customHeight="1">
      <c r="A11" s="501" t="s">
        <v>1408</v>
      </c>
      <c r="B11" s="507">
        <v>15</v>
      </c>
      <c r="C11" s="507">
        <v>4</v>
      </c>
      <c r="D11" s="507">
        <v>4</v>
      </c>
      <c r="E11" s="507" t="s">
        <v>1331</v>
      </c>
      <c r="F11" s="507" t="s">
        <v>1331</v>
      </c>
      <c r="G11" s="507" t="s">
        <v>1331</v>
      </c>
      <c r="H11" s="507" t="s">
        <v>1331</v>
      </c>
      <c r="I11" s="507" t="s">
        <v>1331</v>
      </c>
      <c r="J11" s="507" t="s">
        <v>1331</v>
      </c>
      <c r="K11" s="507" t="s">
        <v>1331</v>
      </c>
      <c r="L11" s="51" t="s">
        <v>1331</v>
      </c>
      <c r="M11" s="51" t="s">
        <v>1331</v>
      </c>
    </row>
    <row r="12" spans="1:15" ht="24" customHeight="1">
      <c r="A12" s="478" t="s">
        <v>1334</v>
      </c>
      <c r="B12" s="487">
        <v>6</v>
      </c>
      <c r="C12" s="487">
        <v>6</v>
      </c>
      <c r="D12" s="433">
        <v>3</v>
      </c>
      <c r="E12" s="471">
        <v>1</v>
      </c>
      <c r="F12" s="471" t="s">
        <v>1331</v>
      </c>
      <c r="G12" s="471">
        <v>1</v>
      </c>
      <c r="H12" s="471" t="s">
        <v>1331</v>
      </c>
      <c r="I12" s="471" t="s">
        <v>1331</v>
      </c>
      <c r="J12" s="471" t="s">
        <v>1331</v>
      </c>
      <c r="K12" s="471" t="s">
        <v>1331</v>
      </c>
      <c r="L12" s="433" t="s">
        <v>1331</v>
      </c>
      <c r="M12" s="471">
        <v>1</v>
      </c>
    </row>
    <row r="13" spans="1:15" s="437" customFormat="1" ht="21" customHeight="1">
      <c r="A13" s="510" t="s">
        <v>1409</v>
      </c>
      <c r="B13" s="507">
        <v>10</v>
      </c>
      <c r="C13" s="507">
        <v>7</v>
      </c>
      <c r="D13" s="507">
        <v>12</v>
      </c>
      <c r="E13" s="507" t="s">
        <v>1331</v>
      </c>
      <c r="F13" s="507" t="s">
        <v>1331</v>
      </c>
      <c r="G13" s="507" t="s">
        <v>1331</v>
      </c>
      <c r="H13" s="507" t="s">
        <v>1331</v>
      </c>
      <c r="I13" s="507">
        <v>1</v>
      </c>
      <c r="J13" s="507">
        <v>1</v>
      </c>
      <c r="K13" s="507">
        <v>1</v>
      </c>
      <c r="L13" s="507" t="s">
        <v>1331</v>
      </c>
      <c r="M13" s="51" t="s">
        <v>1331</v>
      </c>
    </row>
    <row r="14" spans="1:15" s="437" customFormat="1" ht="21" customHeight="1">
      <c r="A14" s="510" t="s">
        <v>1410</v>
      </c>
      <c r="B14" s="507">
        <v>2</v>
      </c>
      <c r="C14" s="507">
        <v>2</v>
      </c>
      <c r="D14" s="507">
        <v>2</v>
      </c>
      <c r="E14" s="507" t="s">
        <v>1331</v>
      </c>
      <c r="F14" s="507" t="s">
        <v>1331</v>
      </c>
      <c r="G14" s="507" t="s">
        <v>1331</v>
      </c>
      <c r="H14" s="507" t="s">
        <v>1331</v>
      </c>
      <c r="I14" s="507" t="s">
        <v>1331</v>
      </c>
      <c r="J14" s="507" t="s">
        <v>1331</v>
      </c>
      <c r="K14" s="507" t="s">
        <v>1331</v>
      </c>
      <c r="L14" s="507" t="s">
        <v>1331</v>
      </c>
      <c r="M14" s="51" t="s">
        <v>1331</v>
      </c>
    </row>
    <row r="15" spans="1:15" s="437" customFormat="1" ht="21" customHeight="1">
      <c r="A15" s="510" t="s">
        <v>1414</v>
      </c>
      <c r="B15" s="507">
        <v>4</v>
      </c>
      <c r="C15" s="507">
        <v>4</v>
      </c>
      <c r="D15" s="507">
        <v>4</v>
      </c>
      <c r="E15" s="507" t="s">
        <v>1331</v>
      </c>
      <c r="F15" s="507" t="s">
        <v>1331</v>
      </c>
      <c r="G15" s="507" t="s">
        <v>1331</v>
      </c>
      <c r="H15" s="507" t="s">
        <v>1331</v>
      </c>
      <c r="I15" s="507" t="s">
        <v>1331</v>
      </c>
      <c r="J15" s="507" t="s">
        <v>1331</v>
      </c>
      <c r="K15" s="507" t="s">
        <v>1331</v>
      </c>
      <c r="L15" s="507" t="s">
        <v>1331</v>
      </c>
      <c r="M15" s="51">
        <v>1</v>
      </c>
    </row>
    <row r="16" spans="1:15" ht="24" customHeight="1">
      <c r="A16" s="465" t="s">
        <v>1326</v>
      </c>
      <c r="B16" s="487">
        <v>12</v>
      </c>
      <c r="C16" s="487">
        <v>8</v>
      </c>
      <c r="D16" s="433">
        <v>7</v>
      </c>
      <c r="E16" s="471">
        <v>1</v>
      </c>
      <c r="F16" s="471" t="s">
        <v>1331</v>
      </c>
      <c r="G16" s="471">
        <v>1</v>
      </c>
      <c r="H16" s="471" t="s">
        <v>1331</v>
      </c>
      <c r="I16" s="471" t="s">
        <v>1331</v>
      </c>
      <c r="J16" s="471">
        <v>1</v>
      </c>
      <c r="K16" s="471" t="s">
        <v>1331</v>
      </c>
      <c r="L16" s="471">
        <v>2</v>
      </c>
      <c r="M16" s="471" t="s">
        <v>1331</v>
      </c>
      <c r="N16" s="388"/>
      <c r="O16" s="418"/>
    </row>
    <row r="17" spans="1:13" s="437" customFormat="1" ht="21" customHeight="1">
      <c r="A17" s="510" t="s">
        <v>1415</v>
      </c>
      <c r="B17" s="507">
        <v>2</v>
      </c>
      <c r="C17" s="507">
        <v>1</v>
      </c>
      <c r="D17" s="507">
        <v>4</v>
      </c>
      <c r="E17" s="507" t="s">
        <v>1331</v>
      </c>
      <c r="F17" s="507" t="s">
        <v>1331</v>
      </c>
      <c r="G17" s="507" t="s">
        <v>1331</v>
      </c>
      <c r="H17" s="507" t="s">
        <v>1331</v>
      </c>
      <c r="I17" s="507" t="s">
        <v>1331</v>
      </c>
      <c r="J17" s="507" t="s">
        <v>1331</v>
      </c>
      <c r="K17" s="507">
        <v>1</v>
      </c>
      <c r="L17" s="507" t="s">
        <v>1331</v>
      </c>
      <c r="M17" s="51" t="s">
        <v>1331</v>
      </c>
    </row>
    <row r="18" spans="1:13" ht="24" customHeight="1">
      <c r="A18" s="502" t="s">
        <v>1327</v>
      </c>
      <c r="B18" s="487">
        <v>48</v>
      </c>
      <c r="C18" s="487">
        <v>31</v>
      </c>
      <c r="D18" s="475">
        <v>58</v>
      </c>
      <c r="E18" s="476">
        <v>1</v>
      </c>
      <c r="F18" s="476" t="s">
        <v>1331</v>
      </c>
      <c r="G18" s="476" t="s">
        <v>1331</v>
      </c>
      <c r="H18" s="476">
        <v>1</v>
      </c>
      <c r="I18" s="477">
        <v>1</v>
      </c>
      <c r="J18" s="476">
        <v>1</v>
      </c>
      <c r="K18" s="476" t="s">
        <v>1331</v>
      </c>
      <c r="L18" s="477">
        <v>2</v>
      </c>
      <c r="M18" s="474">
        <v>1</v>
      </c>
    </row>
    <row r="19" spans="1:13" s="437" customFormat="1" ht="21" customHeight="1">
      <c r="A19" s="510" t="s">
        <v>1416</v>
      </c>
      <c r="B19" s="507">
        <v>5</v>
      </c>
      <c r="C19" s="507">
        <v>1</v>
      </c>
      <c r="D19" s="507">
        <v>1</v>
      </c>
      <c r="E19" s="507" t="s">
        <v>1331</v>
      </c>
      <c r="F19" s="507" t="s">
        <v>1331</v>
      </c>
      <c r="G19" s="507" t="s">
        <v>1331</v>
      </c>
      <c r="H19" s="507" t="s">
        <v>1331</v>
      </c>
      <c r="I19" s="507" t="s">
        <v>1331</v>
      </c>
      <c r="J19" s="507" t="s">
        <v>1331</v>
      </c>
      <c r="K19" s="507" t="s">
        <v>1331</v>
      </c>
      <c r="L19" s="507" t="s">
        <v>1331</v>
      </c>
      <c r="M19" s="51" t="s">
        <v>1331</v>
      </c>
    </row>
    <row r="20" spans="1:13" s="437" customFormat="1" ht="21" customHeight="1">
      <c r="A20" s="510" t="s">
        <v>1417</v>
      </c>
      <c r="B20" s="507">
        <v>2</v>
      </c>
      <c r="C20" s="507">
        <v>2</v>
      </c>
      <c r="D20" s="507">
        <v>4</v>
      </c>
      <c r="E20" s="507" t="s">
        <v>1331</v>
      </c>
      <c r="F20" s="507" t="s">
        <v>1331</v>
      </c>
      <c r="G20" s="507" t="s">
        <v>1331</v>
      </c>
      <c r="H20" s="507" t="s">
        <v>1331</v>
      </c>
      <c r="I20" s="507" t="s">
        <v>1331</v>
      </c>
      <c r="J20" s="507" t="s">
        <v>1331</v>
      </c>
      <c r="K20" s="507" t="s">
        <v>1331</v>
      </c>
      <c r="L20" s="507" t="s">
        <v>1331</v>
      </c>
      <c r="M20" s="51" t="s">
        <v>1331</v>
      </c>
    </row>
    <row r="21" spans="1:13" ht="24" customHeight="1">
      <c r="A21" s="502" t="s">
        <v>1328</v>
      </c>
      <c r="B21" s="487">
        <v>2</v>
      </c>
      <c r="C21" s="487">
        <v>2</v>
      </c>
      <c r="D21" s="475">
        <v>25</v>
      </c>
      <c r="E21" s="476">
        <v>1</v>
      </c>
      <c r="F21" s="476" t="s">
        <v>1331</v>
      </c>
      <c r="G21" s="476">
        <v>1</v>
      </c>
      <c r="H21" s="476" t="s">
        <v>1331</v>
      </c>
      <c r="I21" s="477" t="s">
        <v>1331</v>
      </c>
      <c r="J21" s="476" t="s">
        <v>1331</v>
      </c>
      <c r="K21" s="476">
        <v>1</v>
      </c>
      <c r="L21" s="477" t="s">
        <v>1331</v>
      </c>
      <c r="M21" s="474" t="s">
        <v>1331</v>
      </c>
    </row>
    <row r="22" spans="1:13" s="437" customFormat="1" ht="21" customHeight="1">
      <c r="A22" s="510" t="s">
        <v>1418</v>
      </c>
      <c r="B22" s="507">
        <v>2</v>
      </c>
      <c r="C22" s="507">
        <v>1</v>
      </c>
      <c r="D22" s="507">
        <v>2</v>
      </c>
      <c r="E22" s="507" t="s">
        <v>1331</v>
      </c>
      <c r="F22" s="507" t="s">
        <v>1331</v>
      </c>
      <c r="G22" s="507" t="s">
        <v>1331</v>
      </c>
      <c r="H22" s="507" t="s">
        <v>1331</v>
      </c>
      <c r="I22" s="507" t="s">
        <v>1331</v>
      </c>
      <c r="J22" s="507" t="s">
        <v>1331</v>
      </c>
      <c r="K22" s="507" t="s">
        <v>1331</v>
      </c>
      <c r="L22" s="507" t="s">
        <v>1331</v>
      </c>
      <c r="M22" s="51" t="s">
        <v>1331</v>
      </c>
    </row>
    <row r="23" spans="1:13" s="437" customFormat="1" ht="21" customHeight="1">
      <c r="A23" s="510" t="s">
        <v>1419</v>
      </c>
      <c r="B23" s="507">
        <v>35</v>
      </c>
      <c r="C23" s="507">
        <v>19</v>
      </c>
      <c r="D23" s="507">
        <v>20</v>
      </c>
      <c r="E23" s="507" t="s">
        <v>1331</v>
      </c>
      <c r="F23" s="507" t="s">
        <v>1331</v>
      </c>
      <c r="G23" s="507" t="s">
        <v>1331</v>
      </c>
      <c r="H23" s="507" t="s">
        <v>1331</v>
      </c>
      <c r="I23" s="507">
        <v>1</v>
      </c>
      <c r="J23" s="507">
        <v>1</v>
      </c>
      <c r="K23" s="507" t="s">
        <v>1331</v>
      </c>
      <c r="L23" s="507" t="s">
        <v>1331</v>
      </c>
      <c r="M23" s="51" t="s">
        <v>1331</v>
      </c>
    </row>
    <row r="24" spans="1:13" s="437" customFormat="1" ht="21" customHeight="1">
      <c r="A24" s="510" t="s">
        <v>1420</v>
      </c>
      <c r="B24" s="507">
        <v>2</v>
      </c>
      <c r="C24" s="507">
        <v>1</v>
      </c>
      <c r="D24" s="507">
        <v>1</v>
      </c>
      <c r="E24" s="507" t="s">
        <v>1331</v>
      </c>
      <c r="F24" s="507" t="s">
        <v>1331</v>
      </c>
      <c r="G24" s="507" t="s">
        <v>1331</v>
      </c>
      <c r="H24" s="507" t="s">
        <v>1331</v>
      </c>
      <c r="I24" s="507" t="s">
        <v>1331</v>
      </c>
      <c r="J24" s="507" t="s">
        <v>1331</v>
      </c>
      <c r="K24" s="507" t="s">
        <v>1331</v>
      </c>
      <c r="L24" s="507" t="s">
        <v>1331</v>
      </c>
      <c r="M24" s="51" t="s">
        <v>1331</v>
      </c>
    </row>
    <row r="25" spans="1:13" s="437" customFormat="1" ht="21" customHeight="1">
      <c r="A25" s="510" t="s">
        <v>1421</v>
      </c>
      <c r="B25" s="507">
        <v>10</v>
      </c>
      <c r="C25" s="507">
        <v>1</v>
      </c>
      <c r="D25" s="507">
        <v>1</v>
      </c>
      <c r="E25" s="507" t="s">
        <v>1331</v>
      </c>
      <c r="F25" s="507" t="s">
        <v>1331</v>
      </c>
      <c r="G25" s="507" t="s">
        <v>1331</v>
      </c>
      <c r="H25" s="507" t="s">
        <v>1331</v>
      </c>
      <c r="I25" s="507" t="s">
        <v>1331</v>
      </c>
      <c r="J25" s="507" t="s">
        <v>1331</v>
      </c>
      <c r="K25" s="507" t="s">
        <v>1331</v>
      </c>
      <c r="L25" s="507" t="s">
        <v>1331</v>
      </c>
      <c r="M25" s="51" t="s">
        <v>1331</v>
      </c>
    </row>
    <row r="26" spans="1:13" s="437" customFormat="1" ht="21" customHeight="1">
      <c r="A26" s="510" t="s">
        <v>1422</v>
      </c>
      <c r="B26" s="507">
        <v>8</v>
      </c>
      <c r="C26" s="507">
        <v>1</v>
      </c>
      <c r="D26" s="507">
        <v>1</v>
      </c>
      <c r="E26" s="507" t="s">
        <v>1331</v>
      </c>
      <c r="F26" s="507" t="s">
        <v>1331</v>
      </c>
      <c r="G26" s="507" t="s">
        <v>1331</v>
      </c>
      <c r="H26" s="507" t="s">
        <v>1331</v>
      </c>
      <c r="I26" s="507" t="s">
        <v>1331</v>
      </c>
      <c r="J26" s="507" t="s">
        <v>1331</v>
      </c>
      <c r="K26" s="507" t="s">
        <v>1331</v>
      </c>
      <c r="L26" s="507" t="s">
        <v>1331</v>
      </c>
      <c r="M26" s="51" t="s">
        <v>1331</v>
      </c>
    </row>
    <row r="27" spans="1:13" s="437" customFormat="1" ht="21" customHeight="1">
      <c r="A27" s="510" t="s">
        <v>1423</v>
      </c>
      <c r="B27" s="507">
        <v>15</v>
      </c>
      <c r="C27" s="507">
        <v>7</v>
      </c>
      <c r="D27" s="507">
        <v>7</v>
      </c>
      <c r="E27" s="507" t="s">
        <v>1331</v>
      </c>
      <c r="F27" s="507" t="s">
        <v>1331</v>
      </c>
      <c r="G27" s="507" t="s">
        <v>1331</v>
      </c>
      <c r="H27" s="507" t="s">
        <v>1331</v>
      </c>
      <c r="I27" s="507" t="s">
        <v>1331</v>
      </c>
      <c r="J27" s="507" t="s">
        <v>1331</v>
      </c>
      <c r="K27" s="507">
        <v>1</v>
      </c>
      <c r="L27" s="507">
        <v>1</v>
      </c>
      <c r="M27" s="51" t="s">
        <v>1331</v>
      </c>
    </row>
    <row r="28" spans="1:13" ht="24" customHeight="1">
      <c r="A28" s="502" t="s">
        <v>1217</v>
      </c>
      <c r="B28" s="487">
        <v>12</v>
      </c>
      <c r="C28" s="487">
        <v>6</v>
      </c>
      <c r="D28" s="475">
        <v>10</v>
      </c>
      <c r="E28" s="476">
        <v>1</v>
      </c>
      <c r="F28" s="476" t="s">
        <v>1331</v>
      </c>
      <c r="G28" s="476" t="s">
        <v>1331</v>
      </c>
      <c r="H28" s="476">
        <v>1</v>
      </c>
      <c r="I28" s="477" t="s">
        <v>1331</v>
      </c>
      <c r="J28" s="476" t="s">
        <v>1331</v>
      </c>
      <c r="K28" s="476">
        <v>2</v>
      </c>
      <c r="L28" s="477" t="s">
        <v>1331</v>
      </c>
      <c r="M28" s="474" t="s">
        <v>1331</v>
      </c>
    </row>
    <row r="29" spans="1:13" ht="24" customHeight="1">
      <c r="A29" s="502" t="s">
        <v>1226</v>
      </c>
      <c r="B29" s="487">
        <v>5</v>
      </c>
      <c r="C29" s="487">
        <v>2</v>
      </c>
      <c r="D29" s="475">
        <v>4</v>
      </c>
      <c r="E29" s="476">
        <v>1</v>
      </c>
      <c r="F29" s="476" t="s">
        <v>1331</v>
      </c>
      <c r="G29" s="476" t="s">
        <v>1331</v>
      </c>
      <c r="H29" s="476">
        <v>1</v>
      </c>
      <c r="I29" s="477" t="s">
        <v>1331</v>
      </c>
      <c r="J29" s="476" t="s">
        <v>1331</v>
      </c>
      <c r="K29" s="476" t="s">
        <v>1331</v>
      </c>
      <c r="L29" s="477" t="s">
        <v>1331</v>
      </c>
      <c r="M29" s="474" t="s">
        <v>1331</v>
      </c>
    </row>
    <row r="30" spans="1:13" s="437" customFormat="1" ht="21" customHeight="1">
      <c r="A30" s="510" t="s">
        <v>1424</v>
      </c>
      <c r="B30" s="507">
        <v>5</v>
      </c>
      <c r="C30" s="507">
        <v>3</v>
      </c>
      <c r="D30" s="507">
        <v>5</v>
      </c>
      <c r="E30" s="507" t="s">
        <v>1331</v>
      </c>
      <c r="F30" s="507" t="s">
        <v>1331</v>
      </c>
      <c r="G30" s="507" t="s">
        <v>1331</v>
      </c>
      <c r="H30" s="507" t="s">
        <v>1331</v>
      </c>
      <c r="I30" s="507" t="s">
        <v>1331</v>
      </c>
      <c r="J30" s="507" t="s">
        <v>1331</v>
      </c>
      <c r="K30" s="507" t="s">
        <v>1331</v>
      </c>
      <c r="L30" s="507" t="s">
        <v>1331</v>
      </c>
      <c r="M30" s="51" t="s">
        <v>1331</v>
      </c>
    </row>
    <row r="31" spans="1:13" s="437" customFormat="1" ht="21" customHeight="1">
      <c r="A31" s="510" t="s">
        <v>1425</v>
      </c>
      <c r="B31" s="507">
        <v>3</v>
      </c>
      <c r="C31" s="507">
        <v>1</v>
      </c>
      <c r="D31" s="507">
        <v>1</v>
      </c>
      <c r="E31" s="507" t="s">
        <v>1331</v>
      </c>
      <c r="F31" s="507" t="s">
        <v>1331</v>
      </c>
      <c r="G31" s="507" t="s">
        <v>1331</v>
      </c>
      <c r="H31" s="507" t="s">
        <v>1331</v>
      </c>
      <c r="I31" s="507" t="s">
        <v>1331</v>
      </c>
      <c r="J31" s="507" t="s">
        <v>1331</v>
      </c>
      <c r="K31" s="507" t="s">
        <v>1331</v>
      </c>
      <c r="L31" s="507" t="s">
        <v>1331</v>
      </c>
      <c r="M31" s="51" t="s">
        <v>1331</v>
      </c>
    </row>
    <row r="32" spans="1:13" ht="24" customHeight="1">
      <c r="A32" s="502" t="s">
        <v>1329</v>
      </c>
      <c r="B32" s="487">
        <v>14</v>
      </c>
      <c r="C32" s="487">
        <v>2</v>
      </c>
      <c r="D32" s="475">
        <v>6</v>
      </c>
      <c r="E32" s="476">
        <v>1</v>
      </c>
      <c r="F32" s="476" t="s">
        <v>1331</v>
      </c>
      <c r="G32" s="476" t="s">
        <v>1331</v>
      </c>
      <c r="H32" s="476">
        <v>1</v>
      </c>
      <c r="I32" s="477" t="s">
        <v>1331</v>
      </c>
      <c r="J32" s="476" t="s">
        <v>1331</v>
      </c>
      <c r="K32" s="476" t="s">
        <v>1331</v>
      </c>
      <c r="L32" s="477" t="s">
        <v>1331</v>
      </c>
      <c r="M32" s="474" t="s">
        <v>1331</v>
      </c>
    </row>
    <row r="33" spans="1:13" ht="24" customHeight="1">
      <c r="A33" s="479" t="s">
        <v>1330</v>
      </c>
      <c r="B33" s="487">
        <v>4</v>
      </c>
      <c r="C33" s="487">
        <v>1</v>
      </c>
      <c r="D33" s="475">
        <v>2</v>
      </c>
      <c r="E33" s="476">
        <v>2</v>
      </c>
      <c r="F33" s="476">
        <v>1</v>
      </c>
      <c r="G33" s="476" t="s">
        <v>1331</v>
      </c>
      <c r="H33" s="476">
        <v>1</v>
      </c>
      <c r="I33" s="477" t="s">
        <v>1331</v>
      </c>
      <c r="J33" s="476" t="s">
        <v>1331</v>
      </c>
      <c r="K33" s="476" t="s">
        <v>1331</v>
      </c>
      <c r="L33" s="477" t="s">
        <v>1331</v>
      </c>
      <c r="M33" s="474" t="s">
        <v>1331</v>
      </c>
    </row>
    <row r="34" spans="1:13" s="437" customFormat="1" ht="21" customHeight="1">
      <c r="A34" s="510" t="s">
        <v>1426</v>
      </c>
      <c r="B34" s="507">
        <v>18</v>
      </c>
      <c r="C34" s="507">
        <v>5</v>
      </c>
      <c r="D34" s="507">
        <v>5</v>
      </c>
      <c r="E34" s="507" t="s">
        <v>1331</v>
      </c>
      <c r="F34" s="507" t="s">
        <v>1331</v>
      </c>
      <c r="G34" s="507" t="s">
        <v>1331</v>
      </c>
      <c r="H34" s="507" t="s">
        <v>1331</v>
      </c>
      <c r="I34" s="507" t="s">
        <v>1331</v>
      </c>
      <c r="J34" s="507">
        <v>2</v>
      </c>
      <c r="K34" s="507" t="s">
        <v>1331</v>
      </c>
      <c r="L34" s="507" t="s">
        <v>1331</v>
      </c>
      <c r="M34" s="51">
        <v>2</v>
      </c>
    </row>
    <row r="35" spans="1:13" s="437" customFormat="1" ht="21" customHeight="1">
      <c r="A35" s="510" t="s">
        <v>1427</v>
      </c>
      <c r="B35" s="507">
        <v>10</v>
      </c>
      <c r="C35" s="507">
        <v>8</v>
      </c>
      <c r="D35" s="507">
        <v>10</v>
      </c>
      <c r="E35" s="507" t="s">
        <v>1331</v>
      </c>
      <c r="F35" s="507" t="s">
        <v>1331</v>
      </c>
      <c r="G35" s="507" t="s">
        <v>1331</v>
      </c>
      <c r="H35" s="507" t="s">
        <v>1331</v>
      </c>
      <c r="I35" s="507" t="s">
        <v>1331</v>
      </c>
      <c r="J35" s="507">
        <v>1</v>
      </c>
      <c r="K35" s="507" t="s">
        <v>1331</v>
      </c>
      <c r="L35" s="507">
        <v>1</v>
      </c>
      <c r="M35" s="51">
        <v>1</v>
      </c>
    </row>
    <row r="36" spans="1:13" ht="13.9" customHeight="1">
      <c r="A36" s="465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ht="13.15" customHeight="1">
      <c r="A37" s="611" t="s">
        <v>1333</v>
      </c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1"/>
      <c r="M37" s="611"/>
    </row>
    <row r="38" spans="1:13" ht="13.15" customHeight="1">
      <c r="A38" s="612" t="s">
        <v>1335</v>
      </c>
      <c r="B38" s="612"/>
      <c r="C38" s="612"/>
      <c r="D38" s="612"/>
      <c r="E38" s="612"/>
      <c r="F38" s="612"/>
      <c r="G38" s="612"/>
      <c r="H38" s="612"/>
      <c r="I38" s="612"/>
      <c r="J38" s="612"/>
      <c r="K38" s="612"/>
      <c r="L38" s="612"/>
      <c r="M38" s="612"/>
    </row>
  </sheetData>
  <mergeCells count="10">
    <mergeCell ref="A37:M37"/>
    <mergeCell ref="A38:M38"/>
    <mergeCell ref="A1:M1"/>
    <mergeCell ref="A2:M2"/>
    <mergeCell ref="J3:M3"/>
    <mergeCell ref="A4:A5"/>
    <mergeCell ref="D4:D5"/>
    <mergeCell ref="E4:H4"/>
    <mergeCell ref="I4:M4"/>
    <mergeCell ref="B4:C4"/>
  </mergeCells>
  <hyperlinks>
    <hyperlink ref="J3" location="'Spis tablic'!A4" display="Powrót do spisu treści" xr:uid="{7F1E2D45-5D2E-4128-AC14-7733911F0627}"/>
    <hyperlink ref="J3:K3" location="'SPIS TREŚCI'!A1" display="'SPIS TREŚCI'!A1" xr:uid="{450021C5-A93D-41FC-95D2-3B74B1CC9FDA}"/>
    <hyperlink ref="J3:M3" location="'Spis tablic  List of tables'!A61" display="'Spis tablic  List of tables'!A61" xr:uid="{ABC35082-9171-4E07-8EA7-662C85A35176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41"/>
  <dimension ref="A1:JK186"/>
  <sheetViews>
    <sheetView zoomScaleNormal="100" workbookViewId="0">
      <pane ySplit="6" topLeftCell="A7" activePane="bottomLeft" state="frozen"/>
      <selection pane="bottomLeft" activeCell="J3" sqref="J3"/>
    </sheetView>
  </sheetViews>
  <sheetFormatPr defaultRowHeight="14.5"/>
  <cols>
    <col min="1" max="1" width="20.81640625" customWidth="1"/>
    <col min="2" max="9" width="9.7265625" customWidth="1"/>
    <col min="16" max="16" width="8.453125" customWidth="1"/>
  </cols>
  <sheetData>
    <row r="1" spans="1:271" ht="21.75" customHeight="1">
      <c r="A1" s="625" t="s">
        <v>1357</v>
      </c>
      <c r="B1" s="625"/>
      <c r="C1" s="625"/>
      <c r="D1" s="625"/>
      <c r="E1" s="625"/>
      <c r="F1" s="625"/>
      <c r="G1" s="625"/>
      <c r="H1" s="625"/>
      <c r="I1" s="625"/>
    </row>
    <row r="2" spans="1:271" ht="17.25" customHeight="1">
      <c r="A2" s="626" t="s">
        <v>1358</v>
      </c>
      <c r="B2" s="626"/>
      <c r="C2" s="626"/>
      <c r="D2" s="626"/>
      <c r="E2" s="626"/>
      <c r="F2" s="626"/>
      <c r="G2" s="626"/>
      <c r="H2" s="626"/>
      <c r="I2" s="626"/>
    </row>
    <row r="3" spans="1:271" ht="30" customHeight="1">
      <c r="B3" s="139"/>
      <c r="C3" s="73"/>
      <c r="D3" s="73"/>
      <c r="E3" s="73"/>
      <c r="F3" s="73"/>
      <c r="G3" s="536" t="s">
        <v>5</v>
      </c>
      <c r="H3" s="536"/>
      <c r="I3" s="536"/>
    </row>
    <row r="4" spans="1:271" ht="27.75" customHeight="1">
      <c r="A4" s="616" t="s">
        <v>377</v>
      </c>
      <c r="B4" s="620" t="s">
        <v>378</v>
      </c>
      <c r="C4" s="621"/>
      <c r="D4" s="621"/>
      <c r="E4" s="622"/>
      <c r="F4" s="628" t="s">
        <v>379</v>
      </c>
      <c r="G4" s="629"/>
      <c r="H4" s="629"/>
      <c r="I4" s="629"/>
    </row>
    <row r="5" spans="1:271" ht="22.5" customHeight="1">
      <c r="A5" s="627"/>
      <c r="B5" s="618" t="s">
        <v>80</v>
      </c>
      <c r="C5" s="618" t="s">
        <v>380</v>
      </c>
      <c r="D5" s="618" t="s">
        <v>1321</v>
      </c>
      <c r="E5" s="618" t="s">
        <v>381</v>
      </c>
      <c r="F5" s="618" t="s">
        <v>382</v>
      </c>
      <c r="G5" s="618" t="s">
        <v>380</v>
      </c>
      <c r="H5" s="618" t="s">
        <v>1321</v>
      </c>
      <c r="I5" s="630" t="s">
        <v>381</v>
      </c>
    </row>
    <row r="6" spans="1:271" s="140" customFormat="1">
      <c r="A6" s="617"/>
      <c r="B6" s="619"/>
      <c r="C6" s="619"/>
      <c r="D6" s="619"/>
      <c r="E6" s="619"/>
      <c r="F6" s="619"/>
      <c r="G6" s="619"/>
      <c r="H6" s="619"/>
      <c r="I6" s="631"/>
    </row>
    <row r="7" spans="1:271" s="140" customFormat="1" ht="41.5" customHeight="1">
      <c r="A7" s="635" t="s">
        <v>1379</v>
      </c>
      <c r="B7" s="635"/>
      <c r="C7" s="635"/>
      <c r="D7" s="635"/>
      <c r="E7" s="635"/>
      <c r="F7" s="635"/>
      <c r="G7" s="635"/>
      <c r="H7" s="635"/>
      <c r="I7" s="635"/>
    </row>
    <row r="8" spans="1:271" s="140" customFormat="1" ht="25.9" customHeight="1">
      <c r="A8" s="142" t="s">
        <v>1394</v>
      </c>
      <c r="B8" s="225">
        <v>116</v>
      </c>
      <c r="C8" s="225">
        <v>35</v>
      </c>
      <c r="D8" s="225">
        <v>24</v>
      </c>
      <c r="E8" s="226">
        <v>57</v>
      </c>
      <c r="F8" s="369">
        <v>106</v>
      </c>
      <c r="G8" s="369">
        <v>28</v>
      </c>
      <c r="H8" s="369">
        <v>39</v>
      </c>
      <c r="I8" s="369">
        <v>39</v>
      </c>
      <c r="J8" s="290"/>
      <c r="K8" s="290"/>
      <c r="L8" s="290"/>
    </row>
    <row r="9" spans="1:271" s="140" customFormat="1" ht="22.4" customHeight="1">
      <c r="A9" s="285" t="s">
        <v>83</v>
      </c>
      <c r="B9" s="227" t="s">
        <v>1213</v>
      </c>
      <c r="C9" s="406" t="s">
        <v>1213</v>
      </c>
      <c r="D9" s="227" t="s">
        <v>1074</v>
      </c>
      <c r="E9" s="228" t="s">
        <v>1213</v>
      </c>
      <c r="F9" s="370">
        <v>12</v>
      </c>
      <c r="G9" s="370">
        <v>4</v>
      </c>
      <c r="H9" s="370">
        <v>4</v>
      </c>
      <c r="I9" s="371">
        <v>4</v>
      </c>
    </row>
    <row r="10" spans="1:271" s="140" customFormat="1" ht="22.4" customHeight="1">
      <c r="A10" s="374" t="s">
        <v>385</v>
      </c>
      <c r="B10" s="379" t="s">
        <v>1213</v>
      </c>
      <c r="C10" s="235" t="s">
        <v>1213</v>
      </c>
      <c r="D10" s="228" t="s">
        <v>1074</v>
      </c>
      <c r="E10" s="228" t="s">
        <v>1074</v>
      </c>
      <c r="F10" s="331">
        <v>2</v>
      </c>
      <c r="G10" s="331" t="s">
        <v>1213</v>
      </c>
      <c r="H10" s="331">
        <v>2</v>
      </c>
      <c r="I10" s="372" t="s">
        <v>1213</v>
      </c>
    </row>
    <row r="11" spans="1:271" s="140" customFormat="1" ht="22.4" customHeight="1">
      <c r="A11" s="377" t="s">
        <v>89</v>
      </c>
      <c r="B11" s="381">
        <v>1</v>
      </c>
      <c r="C11" s="407" t="s">
        <v>1213</v>
      </c>
      <c r="D11" s="370" t="s">
        <v>1213</v>
      </c>
      <c r="E11" s="370">
        <v>1</v>
      </c>
      <c r="F11" s="376" t="s">
        <v>1213</v>
      </c>
      <c r="G11" s="376" t="s">
        <v>1213</v>
      </c>
      <c r="H11" s="376" t="s">
        <v>1213</v>
      </c>
      <c r="I11" s="375" t="s">
        <v>1213</v>
      </c>
    </row>
    <row r="12" spans="1:271" s="140" customFormat="1" ht="22.4" customHeight="1">
      <c r="A12" s="378" t="s">
        <v>1008</v>
      </c>
      <c r="B12" s="379" t="s">
        <v>1074</v>
      </c>
      <c r="C12" s="379" t="s">
        <v>1074</v>
      </c>
      <c r="D12" s="376" t="s">
        <v>1074</v>
      </c>
      <c r="E12" s="376" t="s">
        <v>1074</v>
      </c>
      <c r="F12" s="370">
        <v>1</v>
      </c>
      <c r="G12" s="370" t="s">
        <v>1213</v>
      </c>
      <c r="H12" s="370" t="s">
        <v>1213</v>
      </c>
      <c r="I12" s="371">
        <v>1</v>
      </c>
    </row>
    <row r="13" spans="1:271" s="140" customFormat="1" ht="25.5" customHeight="1">
      <c r="A13" s="382" t="s">
        <v>1202</v>
      </c>
      <c r="B13" s="383">
        <v>1</v>
      </c>
      <c r="C13" s="384" t="s">
        <v>1213</v>
      </c>
      <c r="D13" s="384">
        <v>1</v>
      </c>
      <c r="E13" s="384" t="s">
        <v>1213</v>
      </c>
      <c r="F13" s="384">
        <v>3</v>
      </c>
      <c r="G13" s="384">
        <v>2</v>
      </c>
      <c r="H13" s="384" t="s">
        <v>1213</v>
      </c>
      <c r="I13" s="385">
        <v>1</v>
      </c>
      <c r="L13" s="410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  <c r="AT13" s="386"/>
      <c r="AU13" s="386"/>
      <c r="AV13" s="386"/>
      <c r="AW13" s="386"/>
      <c r="AX13" s="386"/>
      <c r="AY13" s="386"/>
      <c r="AZ13" s="386"/>
      <c r="BA13" s="386"/>
      <c r="BB13" s="386"/>
      <c r="BC13" s="386"/>
      <c r="BD13" s="386"/>
      <c r="BE13" s="387"/>
    </row>
    <row r="14" spans="1:271" s="140" customFormat="1" ht="25.5" customHeight="1">
      <c r="A14" s="380" t="s">
        <v>1203</v>
      </c>
      <c r="B14" s="381">
        <v>1</v>
      </c>
      <c r="C14" s="370" t="s">
        <v>1213</v>
      </c>
      <c r="D14" s="370">
        <v>1</v>
      </c>
      <c r="E14" s="370" t="s">
        <v>1213</v>
      </c>
      <c r="F14" s="376" t="s">
        <v>1213</v>
      </c>
      <c r="G14" s="376" t="s">
        <v>1213</v>
      </c>
      <c r="H14" s="376" t="s">
        <v>1213</v>
      </c>
      <c r="I14" s="375" t="s">
        <v>1213</v>
      </c>
      <c r="J14" s="410"/>
      <c r="K14" s="386"/>
      <c r="L14" s="410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7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86"/>
      <c r="EI14" s="386"/>
      <c r="EJ14" s="386"/>
      <c r="EK14" s="386"/>
      <c r="EL14" s="386"/>
      <c r="EM14" s="386"/>
      <c r="EN14" s="386"/>
      <c r="EO14" s="386"/>
      <c r="EP14" s="386"/>
      <c r="EQ14" s="386"/>
      <c r="ER14" s="386"/>
      <c r="ES14" s="386"/>
      <c r="ET14" s="386"/>
      <c r="EU14" s="386"/>
      <c r="EV14" s="386"/>
      <c r="EW14" s="386"/>
      <c r="EX14" s="386"/>
      <c r="EY14" s="386"/>
      <c r="EZ14" s="386"/>
      <c r="FA14" s="386"/>
      <c r="FB14" s="386"/>
      <c r="FC14" s="386"/>
      <c r="FD14" s="386"/>
      <c r="FE14" s="386"/>
      <c r="FF14" s="386"/>
      <c r="FG14" s="386"/>
      <c r="FH14" s="386"/>
      <c r="FI14" s="386"/>
      <c r="FJ14" s="386"/>
      <c r="FK14" s="386"/>
      <c r="FL14" s="386"/>
      <c r="FM14" s="386"/>
      <c r="FN14" s="386"/>
      <c r="FO14" s="386"/>
      <c r="FP14" s="386"/>
      <c r="FQ14" s="386"/>
      <c r="FR14" s="386"/>
      <c r="FS14" s="386"/>
      <c r="FT14" s="386"/>
      <c r="FU14" s="386"/>
      <c r="FV14" s="386"/>
      <c r="FW14" s="386"/>
      <c r="FX14" s="386"/>
      <c r="FY14" s="386"/>
      <c r="FZ14" s="386"/>
      <c r="GA14" s="386"/>
      <c r="GB14" s="386"/>
      <c r="GC14" s="386"/>
      <c r="GD14" s="386"/>
      <c r="GE14" s="386"/>
      <c r="GF14" s="386"/>
      <c r="GG14" s="386"/>
      <c r="GH14" s="386"/>
      <c r="GI14" s="386"/>
      <c r="GJ14" s="386"/>
      <c r="GK14" s="386"/>
      <c r="GL14" s="386"/>
      <c r="GM14" s="386"/>
      <c r="GN14" s="386"/>
      <c r="GO14" s="386"/>
      <c r="GP14" s="386"/>
      <c r="GQ14" s="386"/>
      <c r="GR14" s="386"/>
      <c r="GS14" s="386"/>
      <c r="GT14" s="386"/>
      <c r="GU14" s="386"/>
      <c r="GV14" s="386"/>
      <c r="GW14" s="386"/>
      <c r="GX14" s="386"/>
      <c r="GY14" s="386"/>
      <c r="GZ14" s="386"/>
      <c r="HA14" s="386"/>
      <c r="HB14" s="386"/>
      <c r="HC14" s="386"/>
      <c r="HD14" s="386"/>
      <c r="HE14" s="386"/>
      <c r="HF14" s="386"/>
      <c r="HG14" s="386"/>
      <c r="HH14" s="386"/>
      <c r="HI14" s="386"/>
      <c r="HJ14" s="386"/>
      <c r="HK14" s="386"/>
      <c r="HL14" s="386"/>
      <c r="HM14" s="386"/>
      <c r="HN14" s="386"/>
      <c r="HO14" s="386"/>
      <c r="HP14" s="386"/>
      <c r="HQ14" s="386"/>
      <c r="HR14" s="386"/>
      <c r="HS14" s="386"/>
      <c r="HT14" s="386"/>
      <c r="HU14" s="386"/>
      <c r="HV14" s="386"/>
      <c r="HW14" s="386"/>
      <c r="HX14" s="386"/>
      <c r="HY14" s="386"/>
      <c r="HZ14" s="386"/>
      <c r="IA14" s="386"/>
      <c r="IB14" s="386"/>
      <c r="IC14" s="386"/>
      <c r="ID14" s="386"/>
      <c r="IE14" s="386"/>
      <c r="IF14" s="386"/>
      <c r="IG14" s="386"/>
      <c r="IH14" s="386"/>
      <c r="II14" s="386"/>
      <c r="IJ14" s="386"/>
      <c r="IK14" s="386"/>
      <c r="IL14" s="386"/>
      <c r="IM14" s="386"/>
      <c r="IN14" s="386"/>
      <c r="IO14" s="386"/>
      <c r="IP14" s="386"/>
      <c r="IQ14" s="386"/>
      <c r="IR14" s="386"/>
      <c r="IS14" s="386"/>
      <c r="IT14" s="386"/>
      <c r="IU14" s="386"/>
      <c r="IV14" s="386"/>
      <c r="IW14" s="386"/>
      <c r="IX14" s="386"/>
      <c r="IY14" s="386"/>
      <c r="IZ14" s="386"/>
      <c r="JA14" s="386"/>
      <c r="JB14" s="386"/>
      <c r="JC14" s="386"/>
      <c r="JD14" s="386"/>
      <c r="JE14" s="386"/>
      <c r="JF14" s="386"/>
      <c r="JG14" s="386"/>
      <c r="JH14" s="386"/>
      <c r="JI14" s="386"/>
      <c r="JJ14" s="386"/>
      <c r="JK14" s="387"/>
    </row>
    <row r="15" spans="1:271" s="140" customFormat="1" ht="28.5" customHeight="1">
      <c r="A15" s="380" t="s">
        <v>1210</v>
      </c>
      <c r="B15" s="381" t="s">
        <v>1213</v>
      </c>
      <c r="C15" s="370" t="s">
        <v>1213</v>
      </c>
      <c r="D15" s="370" t="s">
        <v>1213</v>
      </c>
      <c r="E15" s="370" t="s">
        <v>1213</v>
      </c>
      <c r="F15" s="370">
        <v>2</v>
      </c>
      <c r="G15" s="370">
        <v>2</v>
      </c>
      <c r="H15" s="370" t="s">
        <v>1213</v>
      </c>
      <c r="I15" s="371" t="s">
        <v>1213</v>
      </c>
      <c r="L15" s="400"/>
      <c r="BE15" s="388"/>
      <c r="JK15" s="388"/>
    </row>
    <row r="16" spans="1:271" s="140" customFormat="1" ht="22.4" customHeight="1">
      <c r="A16" s="389" t="s">
        <v>387</v>
      </c>
      <c r="B16" s="390" t="s">
        <v>1074</v>
      </c>
      <c r="C16" s="391" t="s">
        <v>1074</v>
      </c>
      <c r="D16" s="391" t="s">
        <v>1074</v>
      </c>
      <c r="E16" s="391" t="s">
        <v>1074</v>
      </c>
      <c r="F16" s="392">
        <v>1</v>
      </c>
      <c r="G16" s="392" t="s">
        <v>1213</v>
      </c>
      <c r="H16" s="392" t="s">
        <v>1213</v>
      </c>
      <c r="I16" s="393">
        <v>1</v>
      </c>
      <c r="J16" s="402"/>
      <c r="K16" s="412"/>
      <c r="L16" s="399"/>
      <c r="M16" s="394"/>
      <c r="N16" s="403"/>
      <c r="O16" s="394"/>
      <c r="P16" s="394"/>
      <c r="Q16" s="403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5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4"/>
      <c r="CF16" s="394"/>
      <c r="CG16" s="394"/>
      <c r="CH16" s="394"/>
      <c r="CI16" s="394"/>
      <c r="CJ16" s="394"/>
      <c r="CK16" s="394"/>
      <c r="CL16" s="394"/>
      <c r="CM16" s="394"/>
      <c r="CN16" s="394"/>
      <c r="CO16" s="394"/>
      <c r="CP16" s="394"/>
      <c r="CQ16" s="394"/>
      <c r="CR16" s="394"/>
      <c r="CS16" s="394"/>
      <c r="CT16" s="394"/>
      <c r="CU16" s="394"/>
      <c r="CV16" s="394"/>
      <c r="CW16" s="394"/>
      <c r="CX16" s="394"/>
      <c r="CY16" s="394"/>
      <c r="CZ16" s="394"/>
      <c r="DA16" s="394"/>
      <c r="DB16" s="394"/>
      <c r="DC16" s="394"/>
      <c r="DD16" s="394"/>
      <c r="DE16" s="394"/>
      <c r="DF16" s="394"/>
      <c r="DG16" s="394"/>
      <c r="DH16" s="394"/>
      <c r="DI16" s="394"/>
      <c r="DJ16" s="394"/>
      <c r="DK16" s="394"/>
      <c r="DL16" s="394"/>
      <c r="DM16" s="394"/>
      <c r="DN16" s="394"/>
      <c r="DO16" s="394"/>
      <c r="DP16" s="394"/>
      <c r="DQ16" s="394"/>
      <c r="DR16" s="394"/>
      <c r="DS16" s="394"/>
      <c r="DT16" s="394"/>
      <c r="DU16" s="394"/>
      <c r="DV16" s="394"/>
      <c r="DW16" s="394"/>
      <c r="DX16" s="394"/>
      <c r="DY16" s="394"/>
      <c r="DZ16" s="394"/>
      <c r="EA16" s="394"/>
      <c r="EB16" s="394"/>
      <c r="EC16" s="394"/>
      <c r="ED16" s="394"/>
      <c r="EE16" s="394"/>
      <c r="EF16" s="394"/>
      <c r="EG16" s="394"/>
      <c r="EH16" s="394"/>
      <c r="EI16" s="394"/>
      <c r="EJ16" s="394"/>
      <c r="EK16" s="394"/>
      <c r="EL16" s="394"/>
      <c r="EM16" s="394"/>
      <c r="EN16" s="394"/>
      <c r="EO16" s="394"/>
      <c r="EP16" s="394"/>
      <c r="EQ16" s="394"/>
      <c r="ER16" s="394"/>
      <c r="ES16" s="394"/>
      <c r="ET16" s="394"/>
      <c r="EU16" s="394"/>
      <c r="EV16" s="394"/>
      <c r="EW16" s="394"/>
      <c r="EX16" s="394"/>
      <c r="EY16" s="394"/>
      <c r="EZ16" s="394"/>
      <c r="FA16" s="394"/>
      <c r="FB16" s="394"/>
      <c r="FC16" s="394"/>
      <c r="FD16" s="394"/>
      <c r="FE16" s="394"/>
      <c r="FF16" s="394"/>
      <c r="FG16" s="394"/>
      <c r="FH16" s="394"/>
      <c r="FI16" s="394"/>
      <c r="FJ16" s="394"/>
      <c r="FK16" s="394"/>
      <c r="FL16" s="394"/>
      <c r="FM16" s="394"/>
      <c r="FN16" s="394"/>
      <c r="FO16" s="394"/>
      <c r="FP16" s="394"/>
      <c r="FQ16" s="394"/>
      <c r="FR16" s="394"/>
      <c r="FS16" s="394"/>
      <c r="FT16" s="394"/>
      <c r="FU16" s="394"/>
      <c r="FV16" s="394"/>
      <c r="FW16" s="394"/>
      <c r="FX16" s="394"/>
      <c r="FY16" s="394"/>
      <c r="FZ16" s="394"/>
      <c r="GA16" s="394"/>
      <c r="GB16" s="394"/>
      <c r="GC16" s="394"/>
      <c r="GD16" s="394"/>
      <c r="GE16" s="394"/>
      <c r="GF16" s="394"/>
      <c r="GG16" s="394"/>
      <c r="GH16" s="394"/>
      <c r="GI16" s="394"/>
      <c r="GJ16" s="394"/>
      <c r="GK16" s="394"/>
      <c r="GL16" s="394"/>
      <c r="GM16" s="394"/>
      <c r="GN16" s="394"/>
      <c r="GO16" s="394"/>
      <c r="GP16" s="394"/>
      <c r="GQ16" s="394"/>
      <c r="GR16" s="394"/>
      <c r="GS16" s="394"/>
      <c r="GT16" s="394"/>
      <c r="GU16" s="394"/>
      <c r="GV16" s="394"/>
      <c r="GW16" s="394"/>
      <c r="GX16" s="394"/>
      <c r="GY16" s="394"/>
      <c r="GZ16" s="394"/>
      <c r="HA16" s="394"/>
      <c r="HB16" s="394"/>
      <c r="HC16" s="394"/>
      <c r="HD16" s="394"/>
      <c r="HE16" s="394"/>
      <c r="HF16" s="394"/>
      <c r="HG16" s="394"/>
      <c r="HH16" s="394"/>
      <c r="HI16" s="394"/>
      <c r="HJ16" s="394"/>
      <c r="HK16" s="394"/>
      <c r="HL16" s="394"/>
      <c r="HM16" s="394"/>
      <c r="HN16" s="394"/>
      <c r="HO16" s="394"/>
      <c r="HP16" s="394"/>
      <c r="HQ16" s="394"/>
      <c r="HR16" s="394"/>
      <c r="HS16" s="394"/>
      <c r="HT16" s="394"/>
      <c r="HU16" s="394"/>
      <c r="HV16" s="394"/>
      <c r="HW16" s="394"/>
      <c r="HX16" s="394"/>
      <c r="HY16" s="394"/>
      <c r="HZ16" s="394"/>
      <c r="IA16" s="394"/>
      <c r="IB16" s="394"/>
      <c r="IC16" s="394"/>
      <c r="ID16" s="394"/>
      <c r="IE16" s="394"/>
      <c r="IF16" s="394"/>
      <c r="IG16" s="394"/>
      <c r="IH16" s="394"/>
      <c r="II16" s="394"/>
      <c r="IJ16" s="394"/>
      <c r="IK16" s="394"/>
      <c r="IL16" s="394"/>
      <c r="IM16" s="394"/>
      <c r="IN16" s="394"/>
      <c r="IO16" s="394"/>
      <c r="IP16" s="394"/>
      <c r="IQ16" s="394"/>
      <c r="IR16" s="394"/>
      <c r="IS16" s="394"/>
      <c r="IT16" s="394"/>
      <c r="IU16" s="394"/>
      <c r="IV16" s="394"/>
      <c r="IW16" s="394"/>
      <c r="IX16" s="394"/>
      <c r="IY16" s="394"/>
      <c r="IZ16" s="394"/>
      <c r="JA16" s="394"/>
      <c r="JB16" s="394"/>
      <c r="JC16" s="394"/>
      <c r="JD16" s="394"/>
      <c r="JE16" s="394"/>
      <c r="JF16" s="394"/>
      <c r="JG16" s="394"/>
      <c r="JH16" s="394"/>
      <c r="JI16" s="394"/>
      <c r="JJ16" s="394"/>
      <c r="JK16" s="395"/>
    </row>
    <row r="17" spans="1:57" s="409" customFormat="1" ht="30" customHeight="1">
      <c r="A17" s="411" t="s">
        <v>388</v>
      </c>
      <c r="B17" s="381">
        <v>15</v>
      </c>
      <c r="C17" s="370">
        <v>1</v>
      </c>
      <c r="D17" s="381">
        <v>6</v>
      </c>
      <c r="E17" s="370">
        <v>8</v>
      </c>
      <c r="F17" s="370">
        <v>10</v>
      </c>
      <c r="G17" s="370">
        <v>2</v>
      </c>
      <c r="H17" s="370">
        <v>6</v>
      </c>
      <c r="I17" s="371">
        <v>2</v>
      </c>
      <c r="J17" s="405"/>
      <c r="K17" s="405"/>
      <c r="L17" s="404"/>
      <c r="M17" s="405"/>
      <c r="N17" s="404"/>
      <c r="O17" s="404"/>
      <c r="P17" s="413"/>
      <c r="Q17" s="404"/>
      <c r="R17" s="413"/>
      <c r="S17" s="404"/>
      <c r="T17" s="413"/>
      <c r="U17" s="404"/>
      <c r="V17" s="404"/>
      <c r="W17" s="413"/>
      <c r="X17" s="404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4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  <c r="BC17" s="413"/>
      <c r="BD17" s="413"/>
      <c r="BE17" s="414"/>
    </row>
    <row r="18" spans="1:57" s="140" customFormat="1" ht="22.4" customHeight="1">
      <c r="A18" s="408" t="s">
        <v>389</v>
      </c>
      <c r="B18" s="397">
        <v>33</v>
      </c>
      <c r="C18" s="397">
        <v>8</v>
      </c>
      <c r="D18" s="397">
        <v>5</v>
      </c>
      <c r="E18" s="392">
        <v>20</v>
      </c>
      <c r="F18" s="391" t="s">
        <v>1074</v>
      </c>
      <c r="G18" s="391" t="s">
        <v>1074</v>
      </c>
      <c r="H18" s="391" t="s">
        <v>1074</v>
      </c>
      <c r="I18" s="398" t="s">
        <v>1074</v>
      </c>
      <c r="J18" s="399"/>
      <c r="K18" s="401"/>
      <c r="L18" s="395"/>
      <c r="M18" s="399"/>
      <c r="N18" s="401"/>
      <c r="O18" s="394"/>
      <c r="P18" s="394"/>
      <c r="Q18" s="401"/>
      <c r="R18" s="394"/>
      <c r="S18" s="401"/>
      <c r="T18" s="394"/>
      <c r="U18" s="401"/>
      <c r="V18" s="401"/>
      <c r="W18" s="394"/>
      <c r="X18" s="401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5"/>
    </row>
    <row r="19" spans="1:57" s="140" customFormat="1" ht="22.4" customHeight="1">
      <c r="A19" s="389" t="s">
        <v>390</v>
      </c>
      <c r="B19" s="390">
        <v>1</v>
      </c>
      <c r="C19" s="391" t="s">
        <v>1074</v>
      </c>
      <c r="D19" s="391" t="s">
        <v>1074</v>
      </c>
      <c r="E19" s="391">
        <v>1</v>
      </c>
      <c r="F19" s="392">
        <v>4</v>
      </c>
      <c r="G19" s="392" t="s">
        <v>1213</v>
      </c>
      <c r="H19" s="392">
        <v>2</v>
      </c>
      <c r="I19" s="393">
        <v>2</v>
      </c>
      <c r="K19" s="401"/>
      <c r="M19" s="400"/>
      <c r="N19" s="401"/>
      <c r="Q19" s="401"/>
      <c r="S19" s="401"/>
      <c r="X19" s="401"/>
    </row>
    <row r="20" spans="1:57" s="140" customFormat="1" ht="22.4" customHeight="1">
      <c r="A20" s="327" t="s">
        <v>1211</v>
      </c>
      <c r="B20" s="228" t="s">
        <v>1213</v>
      </c>
      <c r="C20" s="228" t="s">
        <v>1213</v>
      </c>
      <c r="D20" s="228" t="s">
        <v>1213</v>
      </c>
      <c r="E20" s="228" t="s">
        <v>1213</v>
      </c>
      <c r="F20" s="370">
        <v>1</v>
      </c>
      <c r="G20" s="370" t="s">
        <v>1213</v>
      </c>
      <c r="H20" s="370">
        <v>1</v>
      </c>
      <c r="I20" s="371" t="s">
        <v>1213</v>
      </c>
      <c r="M20" s="399"/>
      <c r="N20" s="395"/>
    </row>
    <row r="21" spans="1:57" s="140" customFormat="1" ht="22.4" customHeight="1">
      <c r="A21" s="83" t="s">
        <v>392</v>
      </c>
      <c r="B21" s="228" t="s">
        <v>1074</v>
      </c>
      <c r="C21" s="228" t="s">
        <v>1074</v>
      </c>
      <c r="D21" s="228" t="s">
        <v>1074</v>
      </c>
      <c r="E21" s="228" t="s">
        <v>1074</v>
      </c>
      <c r="F21" s="331">
        <v>5</v>
      </c>
      <c r="G21" s="331" t="s">
        <v>1213</v>
      </c>
      <c r="H21" s="331">
        <v>3</v>
      </c>
      <c r="I21" s="372">
        <v>2</v>
      </c>
    </row>
    <row r="22" spans="1:57" s="140" customFormat="1" ht="23.25" customHeight="1">
      <c r="A22" s="396" t="s">
        <v>393</v>
      </c>
      <c r="B22" s="381">
        <v>2</v>
      </c>
      <c r="C22" s="381" t="s">
        <v>1213</v>
      </c>
      <c r="D22" s="381">
        <v>2</v>
      </c>
      <c r="E22" s="370" t="s">
        <v>1213</v>
      </c>
      <c r="F22" s="376" t="s">
        <v>1213</v>
      </c>
      <c r="G22" s="376" t="s">
        <v>1074</v>
      </c>
      <c r="H22" s="376" t="s">
        <v>1213</v>
      </c>
      <c r="I22" s="375" t="s">
        <v>1213</v>
      </c>
    </row>
    <row r="23" spans="1:57" s="140" customFormat="1" ht="26.25" customHeight="1">
      <c r="A23" s="332" t="s">
        <v>1204</v>
      </c>
      <c r="B23" s="330">
        <v>2</v>
      </c>
      <c r="C23" s="331">
        <v>1</v>
      </c>
      <c r="D23" s="331">
        <v>1</v>
      </c>
      <c r="E23" s="331" t="s">
        <v>1213</v>
      </c>
      <c r="F23" s="331">
        <v>1</v>
      </c>
      <c r="G23" s="331" t="s">
        <v>1213</v>
      </c>
      <c r="H23" s="331" t="s">
        <v>1213</v>
      </c>
      <c r="I23" s="372">
        <v>1</v>
      </c>
      <c r="K23" s="352"/>
    </row>
    <row r="24" spans="1:57" s="140" customFormat="1" ht="26.25" customHeight="1">
      <c r="A24" s="338" t="s">
        <v>1212</v>
      </c>
      <c r="B24" s="339" t="s">
        <v>1213</v>
      </c>
      <c r="C24" s="340" t="s">
        <v>1213</v>
      </c>
      <c r="D24" s="340" t="s">
        <v>1213</v>
      </c>
      <c r="E24" s="340" t="s">
        <v>1213</v>
      </c>
      <c r="F24" s="340">
        <v>2</v>
      </c>
      <c r="G24" s="340">
        <v>1</v>
      </c>
      <c r="H24" s="340" t="s">
        <v>1213</v>
      </c>
      <c r="I24" s="373">
        <v>1</v>
      </c>
      <c r="J24" s="341"/>
      <c r="K24" s="353"/>
    </row>
    <row r="25" spans="1:57" s="140" customFormat="1" ht="27" customHeight="1">
      <c r="A25" s="332" t="s">
        <v>394</v>
      </c>
      <c r="B25" s="333">
        <v>1</v>
      </c>
      <c r="C25" s="331" t="s">
        <v>1213</v>
      </c>
      <c r="D25" s="331" t="s">
        <v>1213</v>
      </c>
      <c r="E25" s="334">
        <v>1</v>
      </c>
      <c r="F25" s="331">
        <v>1</v>
      </c>
      <c r="G25" s="331" t="s">
        <v>1213</v>
      </c>
      <c r="H25" s="331">
        <v>1</v>
      </c>
      <c r="I25" s="350" t="s">
        <v>1213</v>
      </c>
      <c r="K25" s="352"/>
    </row>
    <row r="26" spans="1:57" s="140" customFormat="1" ht="22.4" customHeight="1">
      <c r="A26" s="338" t="s">
        <v>395</v>
      </c>
      <c r="B26" s="339">
        <v>4</v>
      </c>
      <c r="C26" s="339">
        <v>2</v>
      </c>
      <c r="D26" s="339" t="s">
        <v>1213</v>
      </c>
      <c r="E26" s="340">
        <v>2</v>
      </c>
      <c r="F26" s="340">
        <v>3</v>
      </c>
      <c r="G26" s="340" t="s">
        <v>1213</v>
      </c>
      <c r="H26" s="340">
        <v>2</v>
      </c>
      <c r="I26" s="351">
        <v>1</v>
      </c>
      <c r="P26" s="365"/>
    </row>
    <row r="27" spans="1:57" s="50" customFormat="1" ht="24" customHeight="1">
      <c r="A27" s="342" t="s">
        <v>415</v>
      </c>
      <c r="B27" s="228" t="s">
        <v>1074</v>
      </c>
      <c r="C27" s="228" t="s">
        <v>1074</v>
      </c>
      <c r="D27" s="228" t="s">
        <v>1074</v>
      </c>
      <c r="E27" s="228" t="s">
        <v>1074</v>
      </c>
      <c r="F27" s="340">
        <v>1</v>
      </c>
      <c r="G27" s="340" t="s">
        <v>1213</v>
      </c>
      <c r="H27" s="340" t="s">
        <v>1213</v>
      </c>
      <c r="I27" s="351">
        <v>1</v>
      </c>
    </row>
    <row r="28" spans="1:57" s="140" customFormat="1" ht="22.4" customHeight="1">
      <c r="A28" s="344" t="s">
        <v>396</v>
      </c>
      <c r="B28" s="228" t="s">
        <v>1074</v>
      </c>
      <c r="C28" s="228" t="s">
        <v>1074</v>
      </c>
      <c r="D28" s="228" t="s">
        <v>1074</v>
      </c>
      <c r="E28" s="227" t="s">
        <v>1074</v>
      </c>
      <c r="F28" s="335">
        <v>2</v>
      </c>
      <c r="G28" s="331" t="s">
        <v>1213</v>
      </c>
      <c r="H28" s="331">
        <v>2</v>
      </c>
      <c r="I28" s="343" t="s">
        <v>1213</v>
      </c>
    </row>
    <row r="29" spans="1:57" s="50" customFormat="1" ht="24" customHeight="1">
      <c r="A29" s="355" t="s">
        <v>1374</v>
      </c>
      <c r="B29" s="356">
        <v>1</v>
      </c>
      <c r="C29" s="357" t="s">
        <v>1213</v>
      </c>
      <c r="D29" s="356" t="s">
        <v>1213</v>
      </c>
      <c r="E29" s="356">
        <v>1</v>
      </c>
      <c r="F29" s="368">
        <v>1</v>
      </c>
      <c r="G29" s="354" t="s">
        <v>1213</v>
      </c>
      <c r="H29" s="340" t="s">
        <v>1213</v>
      </c>
      <c r="I29" s="351">
        <v>1</v>
      </c>
    </row>
    <row r="30" spans="1:57" s="57" customFormat="1" ht="24" customHeight="1">
      <c r="A30" s="345" t="s">
        <v>397</v>
      </c>
      <c r="B30" s="331" t="s">
        <v>1074</v>
      </c>
      <c r="C30" s="331" t="s">
        <v>1074</v>
      </c>
      <c r="D30" s="331" t="s">
        <v>1074</v>
      </c>
      <c r="E30" s="336" t="s">
        <v>1074</v>
      </c>
      <c r="F30" s="335">
        <v>1</v>
      </c>
      <c r="G30" s="331" t="s">
        <v>1213</v>
      </c>
      <c r="H30" s="331" t="s">
        <v>1213</v>
      </c>
      <c r="I30" s="343">
        <v>1</v>
      </c>
    </row>
    <row r="31" spans="1:57" s="57" customFormat="1" ht="38.25" customHeight="1">
      <c r="A31" s="338" t="s">
        <v>1205</v>
      </c>
      <c r="B31" s="340">
        <v>1</v>
      </c>
      <c r="C31" s="340" t="s">
        <v>1213</v>
      </c>
      <c r="D31" s="340" t="s">
        <v>1213</v>
      </c>
      <c r="E31" s="340">
        <v>1</v>
      </c>
      <c r="F31" s="357" t="s">
        <v>1213</v>
      </c>
      <c r="G31" s="357" t="s">
        <v>1213</v>
      </c>
      <c r="H31" s="357" t="s">
        <v>1213</v>
      </c>
      <c r="I31" s="358" t="s">
        <v>1213</v>
      </c>
    </row>
    <row r="32" spans="1:57" s="50" customFormat="1" ht="24" customHeight="1">
      <c r="A32" s="338" t="s">
        <v>399</v>
      </c>
      <c r="B32" s="339">
        <v>24</v>
      </c>
      <c r="C32" s="339">
        <v>9</v>
      </c>
      <c r="D32" s="339">
        <v>3</v>
      </c>
      <c r="E32" s="340">
        <v>12</v>
      </c>
      <c r="F32" s="340">
        <v>7</v>
      </c>
      <c r="G32" s="340">
        <v>5</v>
      </c>
      <c r="H32" s="340">
        <v>2</v>
      </c>
      <c r="I32" s="351" t="s">
        <v>1213</v>
      </c>
    </row>
    <row r="33" spans="1:11" s="50" customFormat="1" ht="30">
      <c r="A33" s="338" t="s">
        <v>400</v>
      </c>
      <c r="B33" s="359">
        <v>1</v>
      </c>
      <c r="C33" s="359">
        <v>1</v>
      </c>
      <c r="D33" s="359" t="s">
        <v>1213</v>
      </c>
      <c r="E33" s="360" t="s">
        <v>1213</v>
      </c>
      <c r="F33" s="357" t="s">
        <v>1074</v>
      </c>
      <c r="G33" s="357" t="s">
        <v>1074</v>
      </c>
      <c r="H33" s="357" t="s">
        <v>1074</v>
      </c>
      <c r="I33" s="358" t="s">
        <v>1074</v>
      </c>
    </row>
    <row r="34" spans="1:11" s="50" customFormat="1" ht="24" customHeight="1">
      <c r="A34" s="338" t="s">
        <v>401</v>
      </c>
      <c r="B34" s="359">
        <v>2</v>
      </c>
      <c r="C34" s="359">
        <v>2</v>
      </c>
      <c r="D34" s="359" t="s">
        <v>1213</v>
      </c>
      <c r="E34" s="360" t="s">
        <v>1213</v>
      </c>
      <c r="F34" s="340">
        <v>5</v>
      </c>
      <c r="G34" s="340">
        <v>2</v>
      </c>
      <c r="H34" s="340">
        <v>2</v>
      </c>
      <c r="I34" s="351">
        <v>1</v>
      </c>
    </row>
    <row r="35" spans="1:11" s="50" customFormat="1" ht="27" customHeight="1">
      <c r="A35" s="347" t="s">
        <v>1228</v>
      </c>
      <c r="B35" s="348">
        <v>5</v>
      </c>
      <c r="C35" s="348">
        <v>3</v>
      </c>
      <c r="D35" s="349">
        <v>2</v>
      </c>
      <c r="E35" s="349" t="s">
        <v>1213</v>
      </c>
      <c r="F35" s="337">
        <v>3</v>
      </c>
      <c r="G35" s="337">
        <v>1</v>
      </c>
      <c r="H35" s="337">
        <v>2</v>
      </c>
      <c r="I35" s="350" t="s">
        <v>1213</v>
      </c>
    </row>
    <row r="36" spans="1:11" s="50" customFormat="1" ht="27" customHeight="1">
      <c r="A36" s="345" t="s">
        <v>1208</v>
      </c>
      <c r="B36" s="333">
        <v>5</v>
      </c>
      <c r="C36" s="333" t="s">
        <v>1213</v>
      </c>
      <c r="D36" s="333">
        <v>1</v>
      </c>
      <c r="E36" s="333">
        <v>4</v>
      </c>
      <c r="F36" s="330">
        <v>7</v>
      </c>
      <c r="G36" s="339" t="s">
        <v>1213</v>
      </c>
      <c r="H36" s="335" t="s">
        <v>1213</v>
      </c>
      <c r="I36" s="343">
        <v>7</v>
      </c>
    </row>
    <row r="37" spans="1:11" s="50" customFormat="1" ht="24" customHeight="1">
      <c r="A37" s="338" t="s">
        <v>403</v>
      </c>
      <c r="B37" s="359">
        <v>9</v>
      </c>
      <c r="C37" s="359">
        <v>5</v>
      </c>
      <c r="D37" s="339">
        <v>1</v>
      </c>
      <c r="E37" s="361">
        <v>3</v>
      </c>
      <c r="F37" s="362">
        <v>3</v>
      </c>
      <c r="G37" s="362">
        <v>2</v>
      </c>
      <c r="H37" s="367">
        <v>1</v>
      </c>
      <c r="I37" s="366" t="s">
        <v>1213</v>
      </c>
    </row>
    <row r="38" spans="1:11" s="50" customFormat="1" ht="24" customHeight="1">
      <c r="A38" s="346" t="s">
        <v>420</v>
      </c>
      <c r="B38" s="333">
        <v>1</v>
      </c>
      <c r="C38" s="333">
        <v>1</v>
      </c>
      <c r="D38" s="331" t="s">
        <v>1213</v>
      </c>
      <c r="E38" s="334" t="s">
        <v>1213</v>
      </c>
      <c r="F38" s="331">
        <v>2</v>
      </c>
      <c r="G38" s="331">
        <v>1</v>
      </c>
      <c r="H38" s="331">
        <v>1</v>
      </c>
      <c r="I38" s="343" t="s">
        <v>1213</v>
      </c>
    </row>
    <row r="39" spans="1:11" s="50" customFormat="1" ht="24" customHeight="1">
      <c r="A39" s="363" t="s">
        <v>1207</v>
      </c>
      <c r="B39" s="360">
        <v>1</v>
      </c>
      <c r="C39" s="360" t="s">
        <v>1213</v>
      </c>
      <c r="D39" s="340">
        <v>1</v>
      </c>
      <c r="E39" s="360" t="s">
        <v>1213</v>
      </c>
      <c r="F39" s="357" t="s">
        <v>1213</v>
      </c>
      <c r="G39" s="357" t="s">
        <v>1213</v>
      </c>
      <c r="H39" s="357" t="s">
        <v>1213</v>
      </c>
      <c r="I39" s="351" t="s">
        <v>1213</v>
      </c>
      <c r="J39" s="434"/>
      <c r="K39" s="434"/>
    </row>
    <row r="40" spans="1:11" s="50" customFormat="1" ht="24" customHeight="1">
      <c r="A40" s="338" t="s">
        <v>406</v>
      </c>
      <c r="B40" s="340" t="s">
        <v>1074</v>
      </c>
      <c r="C40" s="340" t="s">
        <v>1074</v>
      </c>
      <c r="D40" s="340" t="s">
        <v>1074</v>
      </c>
      <c r="E40" s="340" t="s">
        <v>1074</v>
      </c>
      <c r="F40" s="340">
        <v>2</v>
      </c>
      <c r="G40" s="340" t="s">
        <v>1213</v>
      </c>
      <c r="H40" s="340" t="s">
        <v>1213</v>
      </c>
      <c r="I40" s="351">
        <v>2</v>
      </c>
    </row>
    <row r="41" spans="1:11" s="50" customFormat="1" ht="24" customHeight="1">
      <c r="A41" s="338" t="s">
        <v>407</v>
      </c>
      <c r="B41" s="359">
        <v>1</v>
      </c>
      <c r="C41" s="359" t="s">
        <v>1213</v>
      </c>
      <c r="D41" s="359" t="s">
        <v>1213</v>
      </c>
      <c r="E41" s="360">
        <v>1</v>
      </c>
      <c r="F41" s="340">
        <v>4</v>
      </c>
      <c r="G41" s="340">
        <v>2</v>
      </c>
      <c r="H41" s="340">
        <v>2</v>
      </c>
      <c r="I41" s="351" t="s">
        <v>1213</v>
      </c>
    </row>
    <row r="42" spans="1:11" s="50" customFormat="1" ht="24" customHeight="1">
      <c r="A42" s="347" t="s">
        <v>1206</v>
      </c>
      <c r="B42" s="348">
        <v>1</v>
      </c>
      <c r="C42" s="349" t="s">
        <v>1213</v>
      </c>
      <c r="D42" s="349" t="s">
        <v>1213</v>
      </c>
      <c r="E42" s="349">
        <v>1</v>
      </c>
      <c r="F42" s="337">
        <v>3</v>
      </c>
      <c r="G42" s="337" t="s">
        <v>1213</v>
      </c>
      <c r="H42" s="337">
        <v>1</v>
      </c>
      <c r="I42" s="350">
        <v>2</v>
      </c>
      <c r="J42" s="364"/>
    </row>
    <row r="43" spans="1:11" s="50" customFormat="1" ht="24" customHeight="1">
      <c r="A43" s="338" t="s">
        <v>1209</v>
      </c>
      <c r="B43" s="359">
        <v>3</v>
      </c>
      <c r="C43" s="360">
        <v>2</v>
      </c>
      <c r="D43" s="360" t="s">
        <v>1213</v>
      </c>
      <c r="E43" s="360">
        <v>1</v>
      </c>
      <c r="F43" s="340">
        <v>1</v>
      </c>
      <c r="G43" s="340" t="s">
        <v>1213</v>
      </c>
      <c r="H43" s="340">
        <v>1</v>
      </c>
      <c r="I43" s="351" t="s">
        <v>1213</v>
      </c>
    </row>
    <row r="44" spans="1:11" s="50" customFormat="1" ht="24" customHeight="1">
      <c r="A44" s="338" t="s">
        <v>408</v>
      </c>
      <c r="B44" s="359" t="s">
        <v>1213</v>
      </c>
      <c r="C44" s="340" t="s">
        <v>1213</v>
      </c>
      <c r="D44" s="340" t="s">
        <v>1074</v>
      </c>
      <c r="E44" s="360" t="s">
        <v>1213</v>
      </c>
      <c r="F44" s="340">
        <v>2</v>
      </c>
      <c r="G44" s="340" t="s">
        <v>1213</v>
      </c>
      <c r="H44" s="340" t="s">
        <v>1213</v>
      </c>
      <c r="I44" s="351">
        <v>2</v>
      </c>
    </row>
    <row r="45" spans="1:11" s="50" customFormat="1" ht="24" customHeight="1">
      <c r="A45" s="347" t="s">
        <v>1377</v>
      </c>
      <c r="B45" s="348" t="s">
        <v>1213</v>
      </c>
      <c r="C45" s="348" t="s">
        <v>1213</v>
      </c>
      <c r="D45" s="337" t="s">
        <v>1213</v>
      </c>
      <c r="E45" s="349" t="s">
        <v>1213</v>
      </c>
      <c r="F45" s="337">
        <v>14</v>
      </c>
      <c r="G45" s="337">
        <v>4</v>
      </c>
      <c r="H45" s="337">
        <v>4</v>
      </c>
      <c r="I45" s="350">
        <v>6</v>
      </c>
    </row>
    <row r="46" spans="1:11" ht="40.4" customHeight="1">
      <c r="A46" s="636" t="s">
        <v>1402</v>
      </c>
      <c r="B46" s="636"/>
      <c r="C46" s="636"/>
      <c r="D46" s="636"/>
      <c r="E46" s="636"/>
      <c r="F46" s="636"/>
      <c r="G46" s="636"/>
      <c r="H46" s="636"/>
      <c r="I46" s="636"/>
    </row>
    <row r="47" spans="1:11" ht="24" customHeight="1">
      <c r="A47" s="46" t="s">
        <v>383</v>
      </c>
      <c r="B47" s="222">
        <v>178</v>
      </c>
      <c r="C47" s="222">
        <v>53</v>
      </c>
      <c r="D47" s="222">
        <v>56</v>
      </c>
      <c r="E47" s="222">
        <v>69</v>
      </c>
      <c r="F47" s="435">
        <v>298</v>
      </c>
      <c r="G47" s="435">
        <v>85</v>
      </c>
      <c r="H47" s="435">
        <v>82</v>
      </c>
      <c r="I47" s="435">
        <v>131</v>
      </c>
    </row>
    <row r="48" spans="1:11" s="140" customFormat="1" ht="22.4" customHeight="1">
      <c r="A48" s="428" t="s">
        <v>385</v>
      </c>
      <c r="B48" s="427" t="s">
        <v>1213</v>
      </c>
      <c r="C48" s="392" t="s">
        <v>1213</v>
      </c>
      <c r="D48" s="392" t="s">
        <v>1074</v>
      </c>
      <c r="E48" s="392" t="s">
        <v>1074</v>
      </c>
      <c r="F48" s="415">
        <v>1</v>
      </c>
      <c r="G48" s="415" t="s">
        <v>1213</v>
      </c>
      <c r="H48" s="415" t="s">
        <v>1213</v>
      </c>
      <c r="I48" s="415">
        <v>1</v>
      </c>
      <c r="J48" s="416"/>
    </row>
    <row r="49" spans="1:10" s="57" customFormat="1" ht="24" customHeight="1">
      <c r="A49" s="429" t="s">
        <v>409</v>
      </c>
      <c r="B49" s="447">
        <v>8</v>
      </c>
      <c r="C49" s="170">
        <v>3</v>
      </c>
      <c r="D49" s="170">
        <v>2</v>
      </c>
      <c r="E49" s="171">
        <v>3</v>
      </c>
      <c r="F49" s="171">
        <v>8</v>
      </c>
      <c r="G49" s="171">
        <v>1</v>
      </c>
      <c r="H49" s="171">
        <v>2</v>
      </c>
      <c r="I49" s="171">
        <v>5</v>
      </c>
      <c r="J49" s="417"/>
    </row>
    <row r="50" spans="1:10" s="57" customFormat="1" ht="24" customHeight="1">
      <c r="A50" s="429" t="s">
        <v>1008</v>
      </c>
      <c r="B50" s="448" t="s">
        <v>1213</v>
      </c>
      <c r="C50" s="376" t="s">
        <v>1074</v>
      </c>
      <c r="D50" s="449" t="s">
        <v>1213</v>
      </c>
      <c r="E50" s="450" t="s">
        <v>1074</v>
      </c>
      <c r="F50" s="424">
        <v>2</v>
      </c>
      <c r="G50" s="424" t="s">
        <v>1213</v>
      </c>
      <c r="H50" s="424">
        <v>2</v>
      </c>
      <c r="I50" s="425" t="s">
        <v>1213</v>
      </c>
      <c r="J50" s="417"/>
    </row>
    <row r="51" spans="1:10" s="57" customFormat="1" ht="24" customHeight="1">
      <c r="A51" s="429" t="s">
        <v>410</v>
      </c>
      <c r="B51" s="448" t="s">
        <v>1074</v>
      </c>
      <c r="C51" s="376" t="s">
        <v>1074</v>
      </c>
      <c r="D51" s="449" t="s">
        <v>1074</v>
      </c>
      <c r="E51" s="450" t="s">
        <v>1074</v>
      </c>
      <c r="F51" s="424">
        <v>16</v>
      </c>
      <c r="G51" s="424">
        <v>3</v>
      </c>
      <c r="H51" s="424">
        <v>1</v>
      </c>
      <c r="I51" s="425">
        <v>12</v>
      </c>
      <c r="J51" s="417"/>
    </row>
    <row r="52" spans="1:10" s="57" customFormat="1" ht="24" customHeight="1">
      <c r="A52" s="429" t="s">
        <v>1202</v>
      </c>
      <c r="B52" s="246">
        <v>4</v>
      </c>
      <c r="C52" s="228" t="s">
        <v>1213</v>
      </c>
      <c r="D52" s="171">
        <v>2</v>
      </c>
      <c r="E52" s="171">
        <v>2</v>
      </c>
      <c r="F52" s="334">
        <v>1</v>
      </c>
      <c r="G52" s="334" t="s">
        <v>1213</v>
      </c>
      <c r="H52" s="334">
        <v>1</v>
      </c>
      <c r="I52" s="334" t="s">
        <v>1213</v>
      </c>
      <c r="J52" s="417"/>
    </row>
    <row r="53" spans="1:10" s="57" customFormat="1" ht="24" customHeight="1">
      <c r="A53" s="429" t="s">
        <v>1203</v>
      </c>
      <c r="B53" s="451" t="s">
        <v>1213</v>
      </c>
      <c r="C53" s="376" t="s">
        <v>1213</v>
      </c>
      <c r="D53" s="450" t="s">
        <v>1213</v>
      </c>
      <c r="E53" s="450" t="s">
        <v>1213</v>
      </c>
      <c r="F53" s="424">
        <v>3</v>
      </c>
      <c r="G53" s="424">
        <v>1</v>
      </c>
      <c r="H53" s="424">
        <v>2</v>
      </c>
      <c r="I53" s="425" t="s">
        <v>1213</v>
      </c>
      <c r="J53" s="417"/>
    </row>
    <row r="54" spans="1:10" s="57" customFormat="1" ht="24" customHeight="1">
      <c r="A54" s="429" t="s">
        <v>1210</v>
      </c>
      <c r="B54" s="451">
        <v>3</v>
      </c>
      <c r="C54" s="376" t="s">
        <v>1213</v>
      </c>
      <c r="D54" s="450">
        <v>2</v>
      </c>
      <c r="E54" s="450">
        <v>1</v>
      </c>
      <c r="F54" s="424" t="s">
        <v>1213</v>
      </c>
      <c r="G54" s="424" t="s">
        <v>1213</v>
      </c>
      <c r="H54" s="424" t="s">
        <v>1213</v>
      </c>
      <c r="I54" s="425" t="s">
        <v>1213</v>
      </c>
      <c r="J54" s="417"/>
    </row>
    <row r="55" spans="1:10" s="57" customFormat="1" ht="24" customHeight="1">
      <c r="A55" s="429" t="s">
        <v>411</v>
      </c>
      <c r="B55" s="235">
        <v>1</v>
      </c>
      <c r="C55" s="228">
        <v>1</v>
      </c>
      <c r="D55" s="228" t="s">
        <v>1213</v>
      </c>
      <c r="E55" s="228" t="s">
        <v>1213</v>
      </c>
      <c r="F55" s="334" t="s">
        <v>1213</v>
      </c>
      <c r="G55" s="334" t="s">
        <v>1074</v>
      </c>
      <c r="H55" s="334" t="s">
        <v>1213</v>
      </c>
      <c r="I55" s="334" t="s">
        <v>1074</v>
      </c>
      <c r="J55" s="417"/>
    </row>
    <row r="56" spans="1:10" ht="24" customHeight="1">
      <c r="A56" s="429" t="s">
        <v>387</v>
      </c>
      <c r="B56" s="452">
        <v>1</v>
      </c>
      <c r="C56" s="376" t="s">
        <v>1213</v>
      </c>
      <c r="D56" s="376" t="s">
        <v>1213</v>
      </c>
      <c r="E56" s="376">
        <v>1</v>
      </c>
      <c r="F56" s="424">
        <v>3</v>
      </c>
      <c r="G56" s="424" t="s">
        <v>1213</v>
      </c>
      <c r="H56" s="424" t="s">
        <v>1213</v>
      </c>
      <c r="I56" s="424">
        <v>3</v>
      </c>
      <c r="J56" s="403"/>
    </row>
    <row r="57" spans="1:10" s="50" customFormat="1" ht="24" customHeight="1">
      <c r="A57" s="429" t="s">
        <v>388</v>
      </c>
      <c r="B57" s="447">
        <v>12</v>
      </c>
      <c r="C57" s="170">
        <v>5</v>
      </c>
      <c r="D57" s="170">
        <v>6</v>
      </c>
      <c r="E57" s="171">
        <v>1</v>
      </c>
      <c r="F57" s="334">
        <v>10</v>
      </c>
      <c r="G57" s="334">
        <v>2</v>
      </c>
      <c r="H57" s="334">
        <v>4</v>
      </c>
      <c r="I57" s="334">
        <v>4</v>
      </c>
      <c r="J57" s="419"/>
    </row>
    <row r="58" spans="1:10" s="50" customFormat="1" ht="24" customHeight="1">
      <c r="A58" s="429" t="s">
        <v>1201</v>
      </c>
      <c r="B58" s="451" t="s">
        <v>1213</v>
      </c>
      <c r="C58" s="450" t="s">
        <v>1213</v>
      </c>
      <c r="D58" s="450" t="s">
        <v>1213</v>
      </c>
      <c r="E58" s="450" t="s">
        <v>1213</v>
      </c>
      <c r="F58" s="424">
        <v>1</v>
      </c>
      <c r="G58" s="424" t="s">
        <v>1213</v>
      </c>
      <c r="H58" s="424">
        <v>1</v>
      </c>
      <c r="I58" s="425" t="s">
        <v>1213</v>
      </c>
      <c r="J58" s="419"/>
    </row>
    <row r="59" spans="1:10" s="50" customFormat="1" ht="24" customHeight="1">
      <c r="A59" s="429" t="s">
        <v>412</v>
      </c>
      <c r="B59" s="235" t="s">
        <v>1074</v>
      </c>
      <c r="C59" s="228" t="s">
        <v>1074</v>
      </c>
      <c r="D59" s="228" t="s">
        <v>1074</v>
      </c>
      <c r="E59" s="228" t="s">
        <v>1074</v>
      </c>
      <c r="F59" s="334">
        <v>87</v>
      </c>
      <c r="G59" s="334">
        <v>29</v>
      </c>
      <c r="H59" s="334">
        <v>23</v>
      </c>
      <c r="I59" s="334">
        <v>35</v>
      </c>
      <c r="J59" s="419"/>
    </row>
    <row r="60" spans="1:10" ht="24" customHeight="1">
      <c r="A60" s="429" t="s">
        <v>390</v>
      </c>
      <c r="B60" s="448">
        <v>5</v>
      </c>
      <c r="C60" s="376" t="s">
        <v>1213</v>
      </c>
      <c r="D60" s="376">
        <v>2</v>
      </c>
      <c r="E60" s="450">
        <v>3</v>
      </c>
      <c r="F60" s="424">
        <v>3</v>
      </c>
      <c r="G60" s="424">
        <v>2</v>
      </c>
      <c r="H60" s="424" t="s">
        <v>1213</v>
      </c>
      <c r="I60" s="425">
        <v>1</v>
      </c>
      <c r="J60" s="418"/>
    </row>
    <row r="61" spans="1:10" s="140" customFormat="1" ht="27.75" customHeight="1">
      <c r="A61" s="428" t="s">
        <v>1214</v>
      </c>
      <c r="B61" s="447">
        <v>23</v>
      </c>
      <c r="C61" s="228">
        <v>9</v>
      </c>
      <c r="D61" s="228">
        <v>8</v>
      </c>
      <c r="E61" s="171">
        <v>6</v>
      </c>
      <c r="F61" s="334" t="s">
        <v>1213</v>
      </c>
      <c r="G61" s="334" t="s">
        <v>1213</v>
      </c>
      <c r="H61" s="334" t="s">
        <v>1213</v>
      </c>
      <c r="I61" s="334" t="s">
        <v>1213</v>
      </c>
      <c r="J61" s="418"/>
    </row>
    <row r="62" spans="1:10" s="50" customFormat="1" ht="24" customHeight="1">
      <c r="A62" s="429" t="s">
        <v>413</v>
      </c>
      <c r="B62" s="448">
        <v>7</v>
      </c>
      <c r="C62" s="449" t="s">
        <v>1213</v>
      </c>
      <c r="D62" s="376">
        <v>4</v>
      </c>
      <c r="E62" s="376">
        <v>3</v>
      </c>
      <c r="F62" s="424">
        <v>7</v>
      </c>
      <c r="G62" s="424">
        <v>2</v>
      </c>
      <c r="H62" s="424">
        <v>4</v>
      </c>
      <c r="I62" s="425">
        <v>1</v>
      </c>
      <c r="J62" s="419"/>
    </row>
    <row r="63" spans="1:10" s="50" customFormat="1" ht="24" customHeight="1">
      <c r="A63" s="429" t="s">
        <v>414</v>
      </c>
      <c r="B63" s="453">
        <v>2</v>
      </c>
      <c r="C63" s="454" t="s">
        <v>1213</v>
      </c>
      <c r="D63" s="391">
        <v>1</v>
      </c>
      <c r="E63" s="391">
        <v>1</v>
      </c>
      <c r="F63" s="415" t="s">
        <v>1074</v>
      </c>
      <c r="G63" s="415" t="s">
        <v>1074</v>
      </c>
      <c r="H63" s="415" t="s">
        <v>1074</v>
      </c>
      <c r="I63" s="423" t="s">
        <v>1074</v>
      </c>
      <c r="J63" s="419"/>
    </row>
    <row r="64" spans="1:10" s="50" customFormat="1" ht="24" customHeight="1">
      <c r="A64" s="429" t="s">
        <v>1215</v>
      </c>
      <c r="B64" s="246">
        <v>5</v>
      </c>
      <c r="C64" s="171">
        <v>2</v>
      </c>
      <c r="D64" s="228">
        <v>1</v>
      </c>
      <c r="E64" s="228">
        <v>2</v>
      </c>
      <c r="F64" s="334" t="s">
        <v>1213</v>
      </c>
      <c r="G64" s="334" t="s">
        <v>1213</v>
      </c>
      <c r="H64" s="334" t="s">
        <v>1213</v>
      </c>
      <c r="I64" s="334" t="s">
        <v>1213</v>
      </c>
      <c r="J64" s="419"/>
    </row>
    <row r="65" spans="1:10" s="50" customFormat="1" ht="24" customHeight="1">
      <c r="A65" s="429" t="s">
        <v>415</v>
      </c>
      <c r="B65" s="452" t="s">
        <v>1074</v>
      </c>
      <c r="C65" s="376" t="s">
        <v>1074</v>
      </c>
      <c r="D65" s="376" t="s">
        <v>1074</v>
      </c>
      <c r="E65" s="376" t="s">
        <v>1074</v>
      </c>
      <c r="F65" s="424">
        <v>2</v>
      </c>
      <c r="G65" s="424" t="s">
        <v>1213</v>
      </c>
      <c r="H65" s="424" t="s">
        <v>1213</v>
      </c>
      <c r="I65" s="425">
        <v>2</v>
      </c>
      <c r="J65" s="419"/>
    </row>
    <row r="66" spans="1:10" s="50" customFormat="1" ht="24" customHeight="1">
      <c r="A66" s="429" t="s">
        <v>130</v>
      </c>
      <c r="B66" s="452" t="s">
        <v>1213</v>
      </c>
      <c r="C66" s="376" t="s">
        <v>1074</v>
      </c>
      <c r="D66" s="376" t="s">
        <v>1213</v>
      </c>
      <c r="E66" s="376" t="s">
        <v>1074</v>
      </c>
      <c r="F66" s="424">
        <v>4</v>
      </c>
      <c r="G66" s="424">
        <v>2</v>
      </c>
      <c r="H66" s="424">
        <v>1</v>
      </c>
      <c r="I66" s="425">
        <v>1</v>
      </c>
      <c r="J66" s="419"/>
    </row>
    <row r="67" spans="1:10" s="50" customFormat="1" ht="24" customHeight="1">
      <c r="A67" s="492" t="s">
        <v>1375</v>
      </c>
      <c r="B67" s="497">
        <v>1</v>
      </c>
      <c r="C67" s="498">
        <v>1</v>
      </c>
      <c r="D67" s="497" t="s">
        <v>1213</v>
      </c>
      <c r="E67" s="497" t="s">
        <v>1213</v>
      </c>
      <c r="F67" s="496" t="s">
        <v>1213</v>
      </c>
      <c r="G67" s="424" t="s">
        <v>1213</v>
      </c>
      <c r="H67" s="424" t="s">
        <v>1213</v>
      </c>
      <c r="I67" s="425" t="s">
        <v>1213</v>
      </c>
      <c r="J67" s="419"/>
    </row>
    <row r="68" spans="1:10" s="50" customFormat="1" ht="26.25" customHeight="1">
      <c r="A68" s="355" t="s">
        <v>1374</v>
      </c>
      <c r="B68" s="499" t="s">
        <v>1213</v>
      </c>
      <c r="C68" s="499" t="s">
        <v>1213</v>
      </c>
      <c r="D68" s="499" t="s">
        <v>1213</v>
      </c>
      <c r="E68" s="499" t="s">
        <v>1213</v>
      </c>
      <c r="F68" s="496">
        <v>1</v>
      </c>
      <c r="G68" s="424">
        <v>1</v>
      </c>
      <c r="H68" s="424" t="s">
        <v>1213</v>
      </c>
      <c r="I68" s="425" t="s">
        <v>1213</v>
      </c>
      <c r="J68" s="419"/>
    </row>
    <row r="69" spans="1:10" s="50" customFormat="1" ht="40.5" customHeight="1">
      <c r="A69" s="428" t="s">
        <v>1216</v>
      </c>
      <c r="B69" s="448">
        <v>6</v>
      </c>
      <c r="C69" s="376">
        <v>4</v>
      </c>
      <c r="D69" s="450">
        <v>1</v>
      </c>
      <c r="E69" s="450">
        <v>1</v>
      </c>
      <c r="F69" s="424" t="s">
        <v>1213</v>
      </c>
      <c r="G69" s="424" t="s">
        <v>1213</v>
      </c>
      <c r="H69" s="424" t="s">
        <v>1213</v>
      </c>
      <c r="I69" s="425" t="s">
        <v>1213</v>
      </c>
      <c r="J69" s="419"/>
    </row>
    <row r="70" spans="1:10" s="50" customFormat="1" ht="24" customHeight="1">
      <c r="A70" s="429" t="s">
        <v>417</v>
      </c>
      <c r="B70" s="447" t="s">
        <v>1074</v>
      </c>
      <c r="C70" s="170" t="s">
        <v>1074</v>
      </c>
      <c r="D70" s="228" t="s">
        <v>1074</v>
      </c>
      <c r="E70" s="228" t="s">
        <v>1074</v>
      </c>
      <c r="F70" s="334">
        <v>8</v>
      </c>
      <c r="G70" s="334">
        <v>2</v>
      </c>
      <c r="H70" s="334">
        <v>1</v>
      </c>
      <c r="I70" s="334">
        <v>5</v>
      </c>
      <c r="J70" s="419"/>
    </row>
    <row r="71" spans="1:10" s="50" customFormat="1" ht="20">
      <c r="A71" s="429" t="s">
        <v>398</v>
      </c>
      <c r="B71" s="448">
        <v>8</v>
      </c>
      <c r="C71" s="449">
        <v>1</v>
      </c>
      <c r="D71" s="449" t="s">
        <v>1213</v>
      </c>
      <c r="E71" s="450">
        <v>7</v>
      </c>
      <c r="F71" s="424" t="s">
        <v>1074</v>
      </c>
      <c r="G71" s="424" t="s">
        <v>1074</v>
      </c>
      <c r="H71" s="424" t="s">
        <v>1074</v>
      </c>
      <c r="I71" s="425" t="s">
        <v>1074</v>
      </c>
      <c r="J71" s="419"/>
    </row>
    <row r="72" spans="1:10" s="50" customFormat="1" ht="24" customHeight="1">
      <c r="A72" s="428" t="s">
        <v>399</v>
      </c>
      <c r="B72" s="447">
        <v>15</v>
      </c>
      <c r="C72" s="170">
        <v>4</v>
      </c>
      <c r="D72" s="170">
        <v>4</v>
      </c>
      <c r="E72" s="171">
        <v>7</v>
      </c>
      <c r="F72" s="334">
        <v>5</v>
      </c>
      <c r="G72" s="334">
        <v>2</v>
      </c>
      <c r="H72" s="334">
        <v>1</v>
      </c>
      <c r="I72" s="334">
        <v>2</v>
      </c>
      <c r="J72" s="419"/>
    </row>
    <row r="73" spans="1:10" s="50" customFormat="1" ht="37.4" customHeight="1">
      <c r="A73" s="429" t="s">
        <v>418</v>
      </c>
      <c r="B73" s="448">
        <v>5</v>
      </c>
      <c r="C73" s="449">
        <v>3</v>
      </c>
      <c r="D73" s="449" t="s">
        <v>1213</v>
      </c>
      <c r="E73" s="450">
        <v>2</v>
      </c>
      <c r="F73" s="424">
        <v>2</v>
      </c>
      <c r="G73" s="424" t="s">
        <v>1213</v>
      </c>
      <c r="H73" s="424" t="s">
        <v>1213</v>
      </c>
      <c r="I73" s="424">
        <v>2</v>
      </c>
      <c r="J73" s="426"/>
    </row>
    <row r="74" spans="1:10" ht="24.65" customHeight="1">
      <c r="A74" s="429" t="s">
        <v>401</v>
      </c>
      <c r="B74" s="447">
        <v>10</v>
      </c>
      <c r="C74" s="170">
        <v>4</v>
      </c>
      <c r="D74" s="170">
        <v>3</v>
      </c>
      <c r="E74" s="171">
        <v>3</v>
      </c>
      <c r="F74" s="334">
        <v>12</v>
      </c>
      <c r="G74" s="334">
        <v>5</v>
      </c>
      <c r="H74" s="334">
        <v>5</v>
      </c>
      <c r="I74" s="334">
        <v>2</v>
      </c>
      <c r="J74" s="418"/>
    </row>
    <row r="75" spans="1:10" s="50" customFormat="1" ht="24" customHeight="1">
      <c r="A75" s="429" t="s">
        <v>419</v>
      </c>
      <c r="B75" s="448">
        <v>6</v>
      </c>
      <c r="C75" s="449">
        <v>2</v>
      </c>
      <c r="D75" s="376">
        <v>2</v>
      </c>
      <c r="E75" s="376">
        <v>2</v>
      </c>
      <c r="F75" s="424">
        <v>3</v>
      </c>
      <c r="G75" s="424">
        <v>2</v>
      </c>
      <c r="H75" s="424" t="s">
        <v>1213</v>
      </c>
      <c r="I75" s="425">
        <v>1</v>
      </c>
      <c r="J75" s="419"/>
    </row>
    <row r="76" spans="1:10" s="50" customFormat="1" ht="24" customHeight="1">
      <c r="A76" s="429" t="s">
        <v>1219</v>
      </c>
      <c r="B76" s="447" t="s">
        <v>1213</v>
      </c>
      <c r="C76" s="170" t="s">
        <v>1213</v>
      </c>
      <c r="D76" s="228" t="s">
        <v>1213</v>
      </c>
      <c r="E76" s="228" t="s">
        <v>1213</v>
      </c>
      <c r="F76" s="334">
        <v>1</v>
      </c>
      <c r="G76" s="334" t="s">
        <v>1213</v>
      </c>
      <c r="H76" s="334" t="s">
        <v>1213</v>
      </c>
      <c r="I76" s="334">
        <v>1</v>
      </c>
      <c r="J76" s="419"/>
    </row>
    <row r="77" spans="1:10" s="50" customFormat="1" ht="24" customHeight="1">
      <c r="A77" s="430" t="s">
        <v>402</v>
      </c>
      <c r="B77" s="448">
        <v>17</v>
      </c>
      <c r="C77" s="449">
        <v>3</v>
      </c>
      <c r="D77" s="376">
        <v>5</v>
      </c>
      <c r="E77" s="376">
        <v>9</v>
      </c>
      <c r="F77" s="424">
        <v>32</v>
      </c>
      <c r="G77" s="424">
        <v>5</v>
      </c>
      <c r="H77" s="424">
        <v>6</v>
      </c>
      <c r="I77" s="425">
        <v>21</v>
      </c>
      <c r="J77" s="419"/>
    </row>
    <row r="78" spans="1:10" s="50" customFormat="1" ht="24" customHeight="1">
      <c r="A78" s="429" t="s">
        <v>403</v>
      </c>
      <c r="B78" s="447">
        <v>6</v>
      </c>
      <c r="C78" s="170">
        <v>2</v>
      </c>
      <c r="D78" s="228">
        <v>3</v>
      </c>
      <c r="E78" s="228">
        <v>1</v>
      </c>
      <c r="F78" s="334">
        <v>22</v>
      </c>
      <c r="G78" s="334">
        <v>10</v>
      </c>
      <c r="H78" s="334">
        <v>5</v>
      </c>
      <c r="I78" s="334">
        <v>7</v>
      </c>
      <c r="J78" s="419"/>
    </row>
    <row r="79" spans="1:10" s="50" customFormat="1" ht="24" customHeight="1">
      <c r="A79" s="429" t="s">
        <v>1217</v>
      </c>
      <c r="B79" s="448">
        <v>1</v>
      </c>
      <c r="C79" s="449" t="s">
        <v>1213</v>
      </c>
      <c r="D79" s="376" t="s">
        <v>1213</v>
      </c>
      <c r="E79" s="376">
        <v>1</v>
      </c>
      <c r="F79" s="424">
        <v>10</v>
      </c>
      <c r="G79" s="424">
        <v>3</v>
      </c>
      <c r="H79" s="424">
        <v>3</v>
      </c>
      <c r="I79" s="425">
        <v>4</v>
      </c>
      <c r="J79" s="419"/>
    </row>
    <row r="80" spans="1:10" s="50" customFormat="1" ht="24" customHeight="1">
      <c r="A80" s="429" t="s">
        <v>1294</v>
      </c>
      <c r="B80" s="447">
        <v>2</v>
      </c>
      <c r="C80" s="170" t="s">
        <v>1213</v>
      </c>
      <c r="D80" s="228">
        <v>1</v>
      </c>
      <c r="E80" s="228">
        <v>1</v>
      </c>
      <c r="F80" s="334">
        <v>4</v>
      </c>
      <c r="G80" s="334" t="s">
        <v>1213</v>
      </c>
      <c r="H80" s="334">
        <v>1</v>
      </c>
      <c r="I80" s="334">
        <v>3</v>
      </c>
      <c r="J80" s="419"/>
    </row>
    <row r="81" spans="1:12" s="50" customFormat="1" ht="24" customHeight="1">
      <c r="A81" s="429" t="s">
        <v>406</v>
      </c>
      <c r="B81" s="451" t="s">
        <v>1213</v>
      </c>
      <c r="C81" s="376" t="s">
        <v>1074</v>
      </c>
      <c r="D81" s="376" t="s">
        <v>1213</v>
      </c>
      <c r="E81" s="450" t="s">
        <v>1074</v>
      </c>
      <c r="F81" s="424">
        <v>13</v>
      </c>
      <c r="G81" s="424">
        <v>4</v>
      </c>
      <c r="H81" s="424">
        <v>4</v>
      </c>
      <c r="I81" s="425">
        <v>5</v>
      </c>
      <c r="J81" s="419"/>
    </row>
    <row r="82" spans="1:12" s="50" customFormat="1" ht="24" customHeight="1">
      <c r="A82" s="429" t="s">
        <v>421</v>
      </c>
      <c r="B82" s="406" t="s">
        <v>1074</v>
      </c>
      <c r="C82" s="228" t="s">
        <v>1074</v>
      </c>
      <c r="D82" s="228" t="s">
        <v>1074</v>
      </c>
      <c r="E82" s="228" t="s">
        <v>1074</v>
      </c>
      <c r="F82" s="334">
        <v>1</v>
      </c>
      <c r="G82" s="334" t="s">
        <v>1213</v>
      </c>
      <c r="H82" s="334">
        <v>1</v>
      </c>
      <c r="I82" s="334" t="s">
        <v>1213</v>
      </c>
      <c r="J82" s="419"/>
    </row>
    <row r="83" spans="1:12" s="50" customFormat="1" ht="24" customHeight="1">
      <c r="A83" s="429" t="s">
        <v>1218</v>
      </c>
      <c r="B83" s="455">
        <v>1</v>
      </c>
      <c r="C83" s="376" t="s">
        <v>1213</v>
      </c>
      <c r="D83" s="376">
        <v>1</v>
      </c>
      <c r="E83" s="376" t="s">
        <v>1213</v>
      </c>
      <c r="F83" s="424">
        <v>2</v>
      </c>
      <c r="G83" s="424" t="s">
        <v>1213</v>
      </c>
      <c r="H83" s="424">
        <v>1</v>
      </c>
      <c r="I83" s="425">
        <v>1</v>
      </c>
      <c r="J83" s="419"/>
    </row>
    <row r="84" spans="1:12" ht="24" customHeight="1">
      <c r="A84" s="429" t="s">
        <v>407</v>
      </c>
      <c r="B84" s="453">
        <v>1</v>
      </c>
      <c r="C84" s="454">
        <v>1</v>
      </c>
      <c r="D84" s="454" t="s">
        <v>1213</v>
      </c>
      <c r="E84" s="456" t="s">
        <v>1213</v>
      </c>
      <c r="F84" s="415">
        <v>8</v>
      </c>
      <c r="G84" s="415">
        <v>2</v>
      </c>
      <c r="H84" s="415">
        <v>5</v>
      </c>
      <c r="I84" s="423">
        <v>1</v>
      </c>
      <c r="J84" s="418"/>
    </row>
    <row r="85" spans="1:12" ht="24" customHeight="1">
      <c r="A85" s="429" t="s">
        <v>178</v>
      </c>
      <c r="B85" s="448">
        <v>2</v>
      </c>
      <c r="C85" s="449" t="s">
        <v>1213</v>
      </c>
      <c r="D85" s="449">
        <v>2</v>
      </c>
      <c r="E85" s="450" t="s">
        <v>1213</v>
      </c>
      <c r="F85" s="424">
        <v>7</v>
      </c>
      <c r="G85" s="424">
        <v>4</v>
      </c>
      <c r="H85" s="424">
        <v>3</v>
      </c>
      <c r="I85" s="425" t="s">
        <v>1213</v>
      </c>
      <c r="J85" s="418"/>
    </row>
    <row r="86" spans="1:12" ht="24" customHeight="1">
      <c r="A86" s="429" t="s">
        <v>1209</v>
      </c>
      <c r="B86" s="447">
        <v>20</v>
      </c>
      <c r="C86" s="171">
        <v>7</v>
      </c>
      <c r="D86" s="170">
        <v>5</v>
      </c>
      <c r="E86" s="171">
        <v>8</v>
      </c>
      <c r="F86" s="334">
        <v>6</v>
      </c>
      <c r="G86" s="334">
        <v>1</v>
      </c>
      <c r="H86" s="334">
        <v>1</v>
      </c>
      <c r="I86" s="334">
        <v>4</v>
      </c>
      <c r="J86" s="418"/>
    </row>
    <row r="87" spans="1:12" ht="24" customHeight="1">
      <c r="A87" s="429" t="s">
        <v>408</v>
      </c>
      <c r="B87" s="448">
        <v>3</v>
      </c>
      <c r="C87" s="376" t="s">
        <v>1213</v>
      </c>
      <c r="D87" s="449" t="s">
        <v>1213</v>
      </c>
      <c r="E87" s="450">
        <v>3</v>
      </c>
      <c r="F87" s="424">
        <v>7</v>
      </c>
      <c r="G87" s="424">
        <v>1</v>
      </c>
      <c r="H87" s="424">
        <v>2</v>
      </c>
      <c r="I87" s="425">
        <v>4</v>
      </c>
      <c r="J87" s="403"/>
    </row>
    <row r="88" spans="1:12" s="50" customFormat="1" ht="24" customHeight="1">
      <c r="A88" s="429" t="s">
        <v>1378</v>
      </c>
      <c r="B88" s="453">
        <v>3</v>
      </c>
      <c r="C88" s="454">
        <v>1</v>
      </c>
      <c r="D88" s="454">
        <v>1</v>
      </c>
      <c r="E88" s="456">
        <v>1</v>
      </c>
      <c r="F88" s="415">
        <v>6</v>
      </c>
      <c r="G88" s="415">
        <v>1</v>
      </c>
      <c r="H88" s="415">
        <v>2</v>
      </c>
      <c r="I88" s="415">
        <v>3</v>
      </c>
      <c r="J88" s="422"/>
    </row>
    <row r="89" spans="1:12" s="140" customFormat="1" ht="40.4" customHeight="1">
      <c r="A89" s="632" t="s">
        <v>1392</v>
      </c>
      <c r="B89" s="632"/>
      <c r="C89" s="632"/>
      <c r="D89" s="632"/>
      <c r="E89" s="632"/>
      <c r="F89" s="632"/>
      <c r="G89" s="632"/>
      <c r="H89" s="632"/>
      <c r="I89" s="632"/>
      <c r="J89" s="418"/>
    </row>
    <row r="90" spans="1:12" ht="24" customHeight="1">
      <c r="A90" s="46" t="s">
        <v>383</v>
      </c>
      <c r="B90" s="231">
        <v>107</v>
      </c>
      <c r="C90" s="231">
        <v>26</v>
      </c>
      <c r="D90" s="231">
        <v>36</v>
      </c>
      <c r="E90" s="231">
        <v>45</v>
      </c>
      <c r="F90" s="231">
        <v>204</v>
      </c>
      <c r="G90" s="231">
        <v>44</v>
      </c>
      <c r="H90" s="231">
        <v>58</v>
      </c>
      <c r="I90" s="231">
        <v>102</v>
      </c>
      <c r="J90" s="420"/>
      <c r="K90" s="288"/>
      <c r="L90" s="288"/>
    </row>
    <row r="91" spans="1:12" ht="24" customHeight="1">
      <c r="A91" s="326" t="s">
        <v>1221</v>
      </c>
      <c r="B91" s="230" t="s">
        <v>1213</v>
      </c>
      <c r="C91" s="230" t="s">
        <v>1213</v>
      </c>
      <c r="D91" s="230" t="s">
        <v>1213</v>
      </c>
      <c r="E91" s="230" t="s">
        <v>1213</v>
      </c>
      <c r="F91" s="230">
        <v>1</v>
      </c>
      <c r="G91" s="230" t="s">
        <v>1213</v>
      </c>
      <c r="H91" s="230">
        <v>1</v>
      </c>
      <c r="I91" s="230" t="s">
        <v>1213</v>
      </c>
      <c r="J91" s="420"/>
      <c r="K91" s="288"/>
      <c r="L91" s="288"/>
    </row>
    <row r="92" spans="1:12" ht="24" customHeight="1">
      <c r="A92" s="326" t="s">
        <v>1222</v>
      </c>
      <c r="B92" s="230" t="s">
        <v>1213</v>
      </c>
      <c r="C92" s="230" t="s">
        <v>1213</v>
      </c>
      <c r="D92" s="230" t="s">
        <v>1213</v>
      </c>
      <c r="E92" s="230" t="s">
        <v>1213</v>
      </c>
      <c r="F92" s="230">
        <v>2</v>
      </c>
      <c r="G92" s="230" t="s">
        <v>1213</v>
      </c>
      <c r="H92" s="230">
        <v>1</v>
      </c>
      <c r="I92" s="230">
        <v>1</v>
      </c>
      <c r="J92" s="420"/>
      <c r="K92" s="288"/>
      <c r="L92" s="288"/>
    </row>
    <row r="93" spans="1:12" s="50" customFormat="1" ht="24" customHeight="1">
      <c r="A93" s="295" t="s">
        <v>409</v>
      </c>
      <c r="B93" s="170">
        <v>1</v>
      </c>
      <c r="C93" s="170" t="s">
        <v>1213</v>
      </c>
      <c r="D93" s="170" t="s">
        <v>1213</v>
      </c>
      <c r="E93" s="171">
        <v>1</v>
      </c>
      <c r="F93" s="230">
        <v>1</v>
      </c>
      <c r="G93" s="230" t="s">
        <v>1213</v>
      </c>
      <c r="H93" s="230" t="s">
        <v>1213</v>
      </c>
      <c r="I93" s="230">
        <v>1</v>
      </c>
      <c r="J93" s="419"/>
    </row>
    <row r="94" spans="1:12" s="57" customFormat="1" ht="24" customHeight="1">
      <c r="A94" s="282" t="s">
        <v>1008</v>
      </c>
      <c r="B94" s="170" t="s">
        <v>1074</v>
      </c>
      <c r="C94" s="227" t="s">
        <v>1074</v>
      </c>
      <c r="D94" s="170" t="s">
        <v>1074</v>
      </c>
      <c r="E94" s="171" t="s">
        <v>1074</v>
      </c>
      <c r="F94" s="230" t="s">
        <v>1213</v>
      </c>
      <c r="G94" s="230" t="s">
        <v>1074</v>
      </c>
      <c r="H94" s="230" t="s">
        <v>1074</v>
      </c>
      <c r="I94" s="230" t="s">
        <v>1213</v>
      </c>
      <c r="J94" s="417"/>
    </row>
    <row r="95" spans="1:12" s="57" customFormat="1" ht="24" customHeight="1">
      <c r="A95" s="286" t="s">
        <v>410</v>
      </c>
      <c r="B95" s="170" t="s">
        <v>1213</v>
      </c>
      <c r="C95" s="228" t="s">
        <v>1074</v>
      </c>
      <c r="D95" s="170" t="s">
        <v>1213</v>
      </c>
      <c r="E95" s="171" t="s">
        <v>1213</v>
      </c>
      <c r="F95" s="230">
        <v>3</v>
      </c>
      <c r="G95" s="230" t="s">
        <v>1213</v>
      </c>
      <c r="H95" s="230" t="s">
        <v>1213</v>
      </c>
      <c r="I95" s="230">
        <v>3</v>
      </c>
      <c r="J95" s="421"/>
    </row>
    <row r="96" spans="1:12" s="57" customFormat="1" ht="24" customHeight="1">
      <c r="A96" s="282" t="s">
        <v>386</v>
      </c>
      <c r="B96" s="170">
        <v>2</v>
      </c>
      <c r="C96" s="228">
        <v>2</v>
      </c>
      <c r="D96" s="170" t="s">
        <v>1213</v>
      </c>
      <c r="E96" s="171" t="s">
        <v>1213</v>
      </c>
      <c r="F96" s="230">
        <v>8</v>
      </c>
      <c r="G96" s="230">
        <v>4</v>
      </c>
      <c r="H96" s="230">
        <v>2</v>
      </c>
      <c r="I96" s="230">
        <v>2</v>
      </c>
    </row>
    <row r="97" spans="1:9" s="57" customFormat="1" ht="24" customHeight="1">
      <c r="A97" s="282" t="s">
        <v>95</v>
      </c>
      <c r="B97" s="170" t="s">
        <v>1074</v>
      </c>
      <c r="C97" s="228" t="s">
        <v>1074</v>
      </c>
      <c r="D97" s="227" t="s">
        <v>1074</v>
      </c>
      <c r="E97" s="171" t="s">
        <v>1074</v>
      </c>
      <c r="F97" s="230" t="s">
        <v>1213</v>
      </c>
      <c r="G97" s="230" t="s">
        <v>1074</v>
      </c>
      <c r="H97" s="230" t="s">
        <v>1074</v>
      </c>
      <c r="I97" s="230" t="s">
        <v>1213</v>
      </c>
    </row>
    <row r="98" spans="1:9" s="57" customFormat="1" ht="24" customHeight="1">
      <c r="A98" s="285" t="s">
        <v>1007</v>
      </c>
      <c r="B98" s="171">
        <v>6</v>
      </c>
      <c r="C98" s="228">
        <v>4</v>
      </c>
      <c r="D98" s="228">
        <v>1</v>
      </c>
      <c r="E98" s="171">
        <v>1</v>
      </c>
      <c r="F98" s="230" t="s">
        <v>1074</v>
      </c>
      <c r="G98" s="230" t="s">
        <v>1074</v>
      </c>
      <c r="H98" s="230" t="s">
        <v>1074</v>
      </c>
      <c r="I98" s="230" t="s">
        <v>1074</v>
      </c>
    </row>
    <row r="99" spans="1:9" s="57" customFormat="1" ht="24" customHeight="1">
      <c r="A99" s="285" t="s">
        <v>387</v>
      </c>
      <c r="B99" s="228">
        <v>1</v>
      </c>
      <c r="C99" s="228" t="s">
        <v>1213</v>
      </c>
      <c r="D99" s="228">
        <v>1</v>
      </c>
      <c r="E99" s="228" t="s">
        <v>1213</v>
      </c>
      <c r="F99" s="230">
        <v>1</v>
      </c>
      <c r="G99" s="230" t="s">
        <v>1213</v>
      </c>
      <c r="H99" s="230" t="s">
        <v>1213</v>
      </c>
      <c r="I99" s="230">
        <v>1</v>
      </c>
    </row>
    <row r="100" spans="1:9" ht="24" customHeight="1">
      <c r="A100" s="282" t="s">
        <v>388</v>
      </c>
      <c r="B100" s="171">
        <v>14</v>
      </c>
      <c r="C100" s="171">
        <v>1</v>
      </c>
      <c r="D100" s="171">
        <v>6</v>
      </c>
      <c r="E100" s="171">
        <v>7</v>
      </c>
      <c r="F100" s="230">
        <v>19</v>
      </c>
      <c r="G100" s="230">
        <v>6</v>
      </c>
      <c r="H100" s="230">
        <v>8</v>
      </c>
      <c r="I100" s="230">
        <v>5</v>
      </c>
    </row>
    <row r="101" spans="1:9" s="50" customFormat="1" ht="24" customHeight="1">
      <c r="A101" s="282" t="s">
        <v>412</v>
      </c>
      <c r="B101" s="227" t="s">
        <v>1074</v>
      </c>
      <c r="C101" s="227" t="s">
        <v>1074</v>
      </c>
      <c r="D101" s="227" t="s">
        <v>1074</v>
      </c>
      <c r="E101" s="228" t="s">
        <v>1074</v>
      </c>
      <c r="F101" s="230">
        <v>92</v>
      </c>
      <c r="G101" s="230">
        <v>17</v>
      </c>
      <c r="H101" s="230">
        <v>20</v>
      </c>
      <c r="I101" s="230">
        <v>55</v>
      </c>
    </row>
    <row r="102" spans="1:9" s="50" customFormat="1" ht="24" customHeight="1">
      <c r="A102" s="282" t="s">
        <v>422</v>
      </c>
      <c r="B102" s="171" t="s">
        <v>1074</v>
      </c>
      <c r="C102" s="228" t="s">
        <v>1074</v>
      </c>
      <c r="D102" s="228" t="s">
        <v>1074</v>
      </c>
      <c r="E102" s="171" t="s">
        <v>1074</v>
      </c>
      <c r="F102" s="230">
        <v>1</v>
      </c>
      <c r="G102" s="230" t="s">
        <v>1213</v>
      </c>
      <c r="H102" s="230">
        <v>1</v>
      </c>
      <c r="I102" s="230" t="s">
        <v>1213</v>
      </c>
    </row>
    <row r="103" spans="1:9" s="57" customFormat="1" ht="24" customHeight="1">
      <c r="A103" s="47" t="s">
        <v>117</v>
      </c>
      <c r="B103" s="171" t="s">
        <v>1213</v>
      </c>
      <c r="C103" s="228" t="s">
        <v>1213</v>
      </c>
      <c r="D103" s="228" t="s">
        <v>1074</v>
      </c>
      <c r="E103" s="171" t="s">
        <v>1074</v>
      </c>
      <c r="F103" s="230" t="s">
        <v>1074</v>
      </c>
      <c r="G103" s="230" t="s">
        <v>1074</v>
      </c>
      <c r="H103" s="230" t="s">
        <v>1074</v>
      </c>
      <c r="I103" s="230" t="s">
        <v>1074</v>
      </c>
    </row>
    <row r="104" spans="1:9" s="57" customFormat="1" ht="24" customHeight="1">
      <c r="A104" s="296" t="s">
        <v>391</v>
      </c>
      <c r="B104" s="171" t="s">
        <v>1213</v>
      </c>
      <c r="C104" s="228" t="s">
        <v>1074</v>
      </c>
      <c r="D104" s="228" t="s">
        <v>1074</v>
      </c>
      <c r="E104" s="171" t="s">
        <v>1213</v>
      </c>
      <c r="F104" s="230" t="s">
        <v>1213</v>
      </c>
      <c r="G104" s="230" t="s">
        <v>1213</v>
      </c>
      <c r="H104" s="230" t="s">
        <v>1074</v>
      </c>
      <c r="I104" s="230" t="s">
        <v>1074</v>
      </c>
    </row>
    <row r="105" spans="1:9" s="140" customFormat="1" ht="22.4" customHeight="1">
      <c r="A105" s="295" t="s">
        <v>392</v>
      </c>
      <c r="B105" s="170" t="s">
        <v>1074</v>
      </c>
      <c r="C105" s="171" t="s">
        <v>1074</v>
      </c>
      <c r="D105" s="171" t="s">
        <v>1074</v>
      </c>
      <c r="E105" s="171" t="s">
        <v>1074</v>
      </c>
      <c r="F105" s="230">
        <v>2</v>
      </c>
      <c r="G105" s="230" t="s">
        <v>1213</v>
      </c>
      <c r="H105" s="230" t="s">
        <v>1213</v>
      </c>
      <c r="I105" s="230">
        <v>2</v>
      </c>
    </row>
    <row r="106" spans="1:9" s="50" customFormat="1" ht="24" customHeight="1">
      <c r="A106" s="282" t="s">
        <v>413</v>
      </c>
      <c r="B106" s="170">
        <v>2</v>
      </c>
      <c r="C106" s="170" t="s">
        <v>1213</v>
      </c>
      <c r="D106" s="227">
        <v>1</v>
      </c>
      <c r="E106" s="228">
        <v>1</v>
      </c>
      <c r="F106" s="230">
        <v>4</v>
      </c>
      <c r="G106" s="230" t="s">
        <v>1213</v>
      </c>
      <c r="H106" s="230">
        <v>3</v>
      </c>
      <c r="I106" s="230">
        <v>1</v>
      </c>
    </row>
    <row r="107" spans="1:9" s="50" customFormat="1" ht="24" customHeight="1">
      <c r="A107" s="282" t="s">
        <v>428</v>
      </c>
      <c r="B107" s="170">
        <v>2</v>
      </c>
      <c r="C107" s="227" t="s">
        <v>1213</v>
      </c>
      <c r="D107" s="228" t="s">
        <v>1213</v>
      </c>
      <c r="E107" s="171">
        <v>2</v>
      </c>
      <c r="F107" s="230">
        <v>3</v>
      </c>
      <c r="G107" s="230" t="s">
        <v>1213</v>
      </c>
      <c r="H107" s="230" t="s">
        <v>1213</v>
      </c>
      <c r="I107" s="230">
        <v>3</v>
      </c>
    </row>
    <row r="108" spans="1:9" s="50" customFormat="1" ht="24" customHeight="1">
      <c r="A108" s="282" t="s">
        <v>394</v>
      </c>
      <c r="B108" s="228">
        <v>1</v>
      </c>
      <c r="C108" s="228">
        <v>1</v>
      </c>
      <c r="D108" s="228" t="s">
        <v>1213</v>
      </c>
      <c r="E108" s="228" t="s">
        <v>1213</v>
      </c>
      <c r="F108" s="230">
        <v>3</v>
      </c>
      <c r="G108" s="230">
        <v>1</v>
      </c>
      <c r="H108" s="230" t="s">
        <v>1213</v>
      </c>
      <c r="I108" s="230">
        <v>2</v>
      </c>
    </row>
    <row r="109" spans="1:9" s="50" customFormat="1" ht="20">
      <c r="A109" s="282" t="s">
        <v>124</v>
      </c>
      <c r="B109" s="170" t="s">
        <v>1074</v>
      </c>
      <c r="C109" s="227" t="s">
        <v>1074</v>
      </c>
      <c r="D109" s="227" t="s">
        <v>1074</v>
      </c>
      <c r="E109" s="171" t="s">
        <v>1074</v>
      </c>
      <c r="F109" s="230">
        <v>2</v>
      </c>
      <c r="G109" s="230" t="s">
        <v>1213</v>
      </c>
      <c r="H109" s="230">
        <v>1</v>
      </c>
      <c r="I109" s="230">
        <v>1</v>
      </c>
    </row>
    <row r="110" spans="1:9" ht="24.65" customHeight="1">
      <c r="A110" s="282" t="s">
        <v>415</v>
      </c>
      <c r="B110" s="227" t="s">
        <v>1074</v>
      </c>
      <c r="C110" s="227" t="s">
        <v>1074</v>
      </c>
      <c r="D110" s="227" t="s">
        <v>1074</v>
      </c>
      <c r="E110" s="228" t="s">
        <v>1074</v>
      </c>
      <c r="F110" s="230" t="s">
        <v>1213</v>
      </c>
      <c r="G110" s="230" t="s">
        <v>1213</v>
      </c>
      <c r="H110" s="230" t="s">
        <v>1074</v>
      </c>
      <c r="I110" s="230" t="s">
        <v>1074</v>
      </c>
    </row>
    <row r="111" spans="1:9" s="50" customFormat="1" ht="24" customHeight="1">
      <c r="A111" s="282" t="s">
        <v>130</v>
      </c>
      <c r="B111" s="228" t="s">
        <v>1074</v>
      </c>
      <c r="C111" s="228" t="s">
        <v>1074</v>
      </c>
      <c r="D111" s="228" t="s">
        <v>1074</v>
      </c>
      <c r="E111" s="228" t="s">
        <v>1074</v>
      </c>
      <c r="F111" s="230">
        <v>1</v>
      </c>
      <c r="G111" s="230" t="s">
        <v>1213</v>
      </c>
      <c r="H111" s="230" t="s">
        <v>1213</v>
      </c>
      <c r="I111" s="230">
        <v>1</v>
      </c>
    </row>
    <row r="112" spans="1:9" s="57" customFormat="1" ht="24" customHeight="1">
      <c r="A112" s="285" t="s">
        <v>21</v>
      </c>
      <c r="B112" s="433" t="s">
        <v>1074</v>
      </c>
      <c r="C112" s="433" t="s">
        <v>1074</v>
      </c>
      <c r="D112" s="433" t="s">
        <v>1074</v>
      </c>
      <c r="E112" s="51" t="s">
        <v>1074</v>
      </c>
      <c r="F112" s="230" t="s">
        <v>1213</v>
      </c>
      <c r="G112" s="230" t="s">
        <v>1074</v>
      </c>
      <c r="H112" s="230" t="s">
        <v>1074</v>
      </c>
      <c r="I112" s="230" t="s">
        <v>1213</v>
      </c>
    </row>
    <row r="113" spans="1:10" s="50" customFormat="1" ht="24" customHeight="1">
      <c r="A113" s="355" t="s">
        <v>1374</v>
      </c>
      <c r="B113" s="171" t="s">
        <v>1213</v>
      </c>
      <c r="C113" s="228" t="s">
        <v>1074</v>
      </c>
      <c r="D113" s="171" t="s">
        <v>1213</v>
      </c>
      <c r="E113" s="171" t="s">
        <v>1074</v>
      </c>
      <c r="F113" s="230">
        <v>1</v>
      </c>
      <c r="G113" s="230">
        <v>1</v>
      </c>
      <c r="H113" s="230" t="s">
        <v>1213</v>
      </c>
      <c r="I113" s="230" t="s">
        <v>1213</v>
      </c>
    </row>
    <row r="114" spans="1:10" s="50" customFormat="1" ht="24" customHeight="1">
      <c r="A114" s="296" t="s">
        <v>138</v>
      </c>
      <c r="B114" s="283">
        <v>1</v>
      </c>
      <c r="C114" s="283" t="s">
        <v>1213</v>
      </c>
      <c r="D114" s="283" t="s">
        <v>1213</v>
      </c>
      <c r="E114" s="283">
        <v>1</v>
      </c>
      <c r="F114" s="230" t="s">
        <v>1074</v>
      </c>
      <c r="G114" s="230" t="s">
        <v>1074</v>
      </c>
      <c r="H114" s="230" t="s">
        <v>1074</v>
      </c>
      <c r="I114" s="230" t="s">
        <v>1074</v>
      </c>
    </row>
    <row r="115" spans="1:10" ht="24" customHeight="1">
      <c r="A115" s="282" t="s">
        <v>416</v>
      </c>
      <c r="B115" s="171">
        <v>8</v>
      </c>
      <c r="C115" s="171" t="s">
        <v>1213</v>
      </c>
      <c r="D115" s="228" t="s">
        <v>1213</v>
      </c>
      <c r="E115" s="228">
        <v>8</v>
      </c>
      <c r="F115" s="230">
        <v>1</v>
      </c>
      <c r="G115" s="230" t="s">
        <v>1213</v>
      </c>
      <c r="H115" s="230">
        <v>1</v>
      </c>
      <c r="I115" s="230" t="s">
        <v>1213</v>
      </c>
    </row>
    <row r="116" spans="1:10" ht="24" customHeight="1">
      <c r="A116" s="328" t="s">
        <v>1224</v>
      </c>
      <c r="B116" s="230" t="s">
        <v>1213</v>
      </c>
      <c r="C116" s="230" t="s">
        <v>1213</v>
      </c>
      <c r="D116" s="230" t="s">
        <v>1213</v>
      </c>
      <c r="E116" s="230" t="s">
        <v>1213</v>
      </c>
      <c r="F116" s="230">
        <v>1</v>
      </c>
      <c r="G116" s="230" t="s">
        <v>1213</v>
      </c>
      <c r="H116" s="230" t="s">
        <v>1213</v>
      </c>
      <c r="I116" s="230">
        <v>1</v>
      </c>
      <c r="J116" s="141"/>
    </row>
    <row r="117" spans="1:10" s="50" customFormat="1" ht="24" customHeight="1">
      <c r="A117" s="280" t="s">
        <v>398</v>
      </c>
      <c r="B117" s="230" t="s">
        <v>1213</v>
      </c>
      <c r="C117" s="230" t="s">
        <v>1213</v>
      </c>
      <c r="D117" s="230" t="s">
        <v>1213</v>
      </c>
      <c r="E117" s="230" t="s">
        <v>1213</v>
      </c>
      <c r="F117" s="230">
        <v>2</v>
      </c>
      <c r="G117" s="230">
        <v>1</v>
      </c>
      <c r="H117" s="230" t="s">
        <v>1213</v>
      </c>
      <c r="I117" s="230">
        <v>1</v>
      </c>
    </row>
    <row r="118" spans="1:10" s="140" customFormat="1" ht="22.4" customHeight="1">
      <c r="A118" s="284" t="s">
        <v>399</v>
      </c>
      <c r="B118" s="171">
        <v>24</v>
      </c>
      <c r="C118" s="171">
        <v>7</v>
      </c>
      <c r="D118" s="171">
        <v>9</v>
      </c>
      <c r="E118" s="171">
        <v>8</v>
      </c>
      <c r="F118" s="230">
        <v>1</v>
      </c>
      <c r="G118" s="230">
        <v>1</v>
      </c>
      <c r="H118" s="230" t="s">
        <v>1213</v>
      </c>
      <c r="I118" s="230" t="s">
        <v>1213</v>
      </c>
    </row>
    <row r="119" spans="1:10" s="50" customFormat="1" ht="30">
      <c r="A119" s="282" t="s">
        <v>418</v>
      </c>
      <c r="B119" s="170">
        <v>15</v>
      </c>
      <c r="C119" s="170">
        <v>4</v>
      </c>
      <c r="D119" s="171">
        <v>4</v>
      </c>
      <c r="E119" s="171">
        <v>7</v>
      </c>
      <c r="F119" s="230">
        <v>3</v>
      </c>
      <c r="G119" s="230">
        <v>1</v>
      </c>
      <c r="H119" s="230" t="s">
        <v>1213</v>
      </c>
      <c r="I119" s="230">
        <v>2</v>
      </c>
    </row>
    <row r="120" spans="1:10" ht="20">
      <c r="A120" s="295" t="s">
        <v>401</v>
      </c>
      <c r="B120" s="230">
        <v>3</v>
      </c>
      <c r="C120" s="230">
        <v>1</v>
      </c>
      <c r="D120" s="230" t="s">
        <v>1213</v>
      </c>
      <c r="E120" s="230">
        <v>2</v>
      </c>
      <c r="F120" s="230">
        <v>2</v>
      </c>
      <c r="G120" s="230">
        <v>2</v>
      </c>
      <c r="H120" s="230" t="s">
        <v>1213</v>
      </c>
      <c r="I120" s="230" t="s">
        <v>1213</v>
      </c>
    </row>
    <row r="121" spans="1:10" ht="20">
      <c r="A121" s="328" t="s">
        <v>1220</v>
      </c>
      <c r="B121" s="230">
        <v>2</v>
      </c>
      <c r="C121" s="230">
        <v>2</v>
      </c>
      <c r="D121" s="230" t="s">
        <v>1213</v>
      </c>
      <c r="E121" s="230" t="s">
        <v>1213</v>
      </c>
      <c r="F121" s="230">
        <v>5</v>
      </c>
      <c r="G121" s="230">
        <v>1</v>
      </c>
      <c r="H121" s="230">
        <v>1</v>
      </c>
      <c r="I121" s="230">
        <v>3</v>
      </c>
      <c r="J121" s="141"/>
    </row>
    <row r="122" spans="1:10" ht="24" customHeight="1">
      <c r="A122" s="285" t="s">
        <v>430</v>
      </c>
      <c r="B122" s="170" t="s">
        <v>1213</v>
      </c>
      <c r="C122" s="227" t="s">
        <v>1213</v>
      </c>
      <c r="D122" s="170" t="s">
        <v>1213</v>
      </c>
      <c r="E122" s="171" t="s">
        <v>1213</v>
      </c>
      <c r="F122" s="230">
        <v>6</v>
      </c>
      <c r="G122" s="230" t="s">
        <v>1213</v>
      </c>
      <c r="H122" s="230">
        <v>3</v>
      </c>
      <c r="I122" s="230">
        <v>3</v>
      </c>
    </row>
    <row r="123" spans="1:10" ht="24" customHeight="1">
      <c r="A123" s="328" t="s">
        <v>1208</v>
      </c>
      <c r="B123" s="170">
        <v>8</v>
      </c>
      <c r="C123" s="227" t="s">
        <v>1213</v>
      </c>
      <c r="D123" s="170">
        <v>3</v>
      </c>
      <c r="E123" s="171">
        <v>5</v>
      </c>
      <c r="F123" s="230">
        <v>5</v>
      </c>
      <c r="G123" s="230" t="s">
        <v>1213</v>
      </c>
      <c r="H123" s="230">
        <v>2</v>
      </c>
      <c r="I123" s="230">
        <v>3</v>
      </c>
    </row>
    <row r="124" spans="1:10" s="50" customFormat="1" ht="24" customHeight="1">
      <c r="A124" s="295" t="s">
        <v>423</v>
      </c>
      <c r="B124" s="170">
        <v>6</v>
      </c>
      <c r="C124" s="227">
        <v>1</v>
      </c>
      <c r="D124" s="227">
        <v>4</v>
      </c>
      <c r="E124" s="171">
        <v>1</v>
      </c>
      <c r="F124" s="230">
        <v>9</v>
      </c>
      <c r="G124" s="230">
        <v>3</v>
      </c>
      <c r="H124" s="230">
        <v>5</v>
      </c>
      <c r="I124" s="230">
        <v>1</v>
      </c>
    </row>
    <row r="125" spans="1:10" s="50" customFormat="1" ht="24" customHeight="1">
      <c r="A125" s="295" t="s">
        <v>420</v>
      </c>
      <c r="B125" s="170" t="s">
        <v>1213</v>
      </c>
      <c r="C125" s="171" t="s">
        <v>1074</v>
      </c>
      <c r="D125" s="228" t="s">
        <v>1074</v>
      </c>
      <c r="E125" s="171" t="s">
        <v>1213</v>
      </c>
      <c r="F125" s="171" t="s">
        <v>1213</v>
      </c>
      <c r="G125" s="171" t="s">
        <v>1074</v>
      </c>
      <c r="H125" s="171" t="s">
        <v>1213</v>
      </c>
      <c r="I125" s="171" t="s">
        <v>1074</v>
      </c>
    </row>
    <row r="126" spans="1:10" s="50" customFormat="1" ht="24" customHeight="1">
      <c r="A126" s="328" t="s">
        <v>1230</v>
      </c>
      <c r="B126" s="170" t="s">
        <v>1213</v>
      </c>
      <c r="C126" s="171" t="s">
        <v>1074</v>
      </c>
      <c r="D126" s="228" t="s">
        <v>1074</v>
      </c>
      <c r="E126" s="171" t="s">
        <v>1213</v>
      </c>
      <c r="F126" s="171">
        <v>2</v>
      </c>
      <c r="G126" s="171" t="s">
        <v>1213</v>
      </c>
      <c r="H126" s="171">
        <v>1</v>
      </c>
      <c r="I126" s="171">
        <v>1</v>
      </c>
    </row>
    <row r="127" spans="1:10" s="50" customFormat="1" ht="24" customHeight="1">
      <c r="A127" s="296" t="s">
        <v>404</v>
      </c>
      <c r="B127" s="171">
        <v>1</v>
      </c>
      <c r="C127" s="171" t="s">
        <v>1213</v>
      </c>
      <c r="D127" s="171">
        <v>1</v>
      </c>
      <c r="E127" s="171" t="s">
        <v>1213</v>
      </c>
      <c r="F127" s="230">
        <v>1</v>
      </c>
      <c r="G127" s="230" t="s">
        <v>1213</v>
      </c>
      <c r="H127" s="230" t="s">
        <v>1213</v>
      </c>
      <c r="I127" s="230">
        <v>1</v>
      </c>
    </row>
    <row r="128" spans="1:10" s="50" customFormat="1" ht="24" customHeight="1">
      <c r="A128" s="47" t="s">
        <v>406</v>
      </c>
      <c r="B128" s="171" t="s">
        <v>1074</v>
      </c>
      <c r="C128" s="228" t="s">
        <v>1074</v>
      </c>
      <c r="D128" s="228" t="s">
        <v>1074</v>
      </c>
      <c r="E128" s="171" t="s">
        <v>1074</v>
      </c>
      <c r="F128" s="230">
        <v>3</v>
      </c>
      <c r="G128" s="230" t="s">
        <v>1213</v>
      </c>
      <c r="H128" s="230">
        <v>2</v>
      </c>
      <c r="I128" s="230">
        <v>1</v>
      </c>
    </row>
    <row r="129" spans="1:12" s="50" customFormat="1" ht="24" customHeight="1">
      <c r="A129" s="296" t="s">
        <v>405</v>
      </c>
      <c r="B129" s="170" t="s">
        <v>1213</v>
      </c>
      <c r="C129" s="227" t="s">
        <v>1074</v>
      </c>
      <c r="D129" s="228" t="s">
        <v>1074</v>
      </c>
      <c r="E129" s="171" t="s">
        <v>1213</v>
      </c>
      <c r="F129" s="228" t="s">
        <v>1074</v>
      </c>
      <c r="G129" s="228" t="s">
        <v>1074</v>
      </c>
      <c r="H129" s="228" t="s">
        <v>1074</v>
      </c>
      <c r="I129" s="228" t="s">
        <v>1074</v>
      </c>
    </row>
    <row r="130" spans="1:12" s="50" customFormat="1" ht="24" customHeight="1">
      <c r="A130" s="327" t="s">
        <v>1218</v>
      </c>
      <c r="B130" s="170">
        <v>1</v>
      </c>
      <c r="C130" s="228" t="s">
        <v>1213</v>
      </c>
      <c r="D130" s="228">
        <v>1</v>
      </c>
      <c r="E130" s="171" t="s">
        <v>1213</v>
      </c>
      <c r="F130" s="228" t="s">
        <v>1213</v>
      </c>
      <c r="G130" s="228" t="s">
        <v>1213</v>
      </c>
      <c r="H130" s="228" t="s">
        <v>1213</v>
      </c>
      <c r="I130" s="228" t="s">
        <v>1213</v>
      </c>
    </row>
    <row r="131" spans="1:12" s="50" customFormat="1" ht="24" customHeight="1">
      <c r="A131" s="282" t="s">
        <v>407</v>
      </c>
      <c r="B131" s="229">
        <v>4</v>
      </c>
      <c r="C131" s="230">
        <v>2</v>
      </c>
      <c r="D131" s="230">
        <v>1</v>
      </c>
      <c r="E131" s="230">
        <v>1</v>
      </c>
      <c r="F131" s="230">
        <v>3</v>
      </c>
      <c r="G131" s="230">
        <v>2</v>
      </c>
      <c r="H131" s="230">
        <v>1</v>
      </c>
      <c r="I131" s="230" t="s">
        <v>1213</v>
      </c>
    </row>
    <row r="132" spans="1:12" ht="24" customHeight="1">
      <c r="A132" s="282" t="s">
        <v>178</v>
      </c>
      <c r="B132" s="431">
        <v>2</v>
      </c>
      <c r="C132" s="431" t="s">
        <v>1213</v>
      </c>
      <c r="D132" s="431">
        <v>2</v>
      </c>
      <c r="E132" s="432" t="s">
        <v>1213</v>
      </c>
      <c r="F132" s="230">
        <v>2</v>
      </c>
      <c r="G132" s="230" t="s">
        <v>1213</v>
      </c>
      <c r="H132" s="230">
        <v>1</v>
      </c>
      <c r="I132" s="230">
        <v>1</v>
      </c>
    </row>
    <row r="133" spans="1:12" ht="24" customHeight="1">
      <c r="A133" s="282" t="s">
        <v>408</v>
      </c>
      <c r="B133" s="229" t="s">
        <v>1213</v>
      </c>
      <c r="C133" s="228" t="s">
        <v>1074</v>
      </c>
      <c r="D133" s="229" t="s">
        <v>1074</v>
      </c>
      <c r="E133" s="230" t="s">
        <v>1213</v>
      </c>
      <c r="F133" s="230">
        <v>3</v>
      </c>
      <c r="G133" s="230" t="s">
        <v>1213</v>
      </c>
      <c r="H133" s="230" t="s">
        <v>1213</v>
      </c>
      <c r="I133" s="230">
        <v>3</v>
      </c>
    </row>
    <row r="134" spans="1:12" s="50" customFormat="1" ht="24" customHeight="1">
      <c r="A134" s="47" t="s">
        <v>1377</v>
      </c>
      <c r="B134" s="171">
        <v>3</v>
      </c>
      <c r="C134" s="171">
        <v>1</v>
      </c>
      <c r="D134" s="171">
        <v>2</v>
      </c>
      <c r="E134" s="228" t="s">
        <v>1213</v>
      </c>
      <c r="F134" s="230">
        <v>11</v>
      </c>
      <c r="G134" s="230">
        <v>4</v>
      </c>
      <c r="H134" s="230">
        <v>4</v>
      </c>
      <c r="I134" s="230">
        <v>3</v>
      </c>
    </row>
    <row r="135" spans="1:12" ht="24" customHeight="1">
      <c r="A135" s="633" t="s">
        <v>1403</v>
      </c>
      <c r="B135" s="633"/>
      <c r="C135" s="633"/>
      <c r="D135" s="633"/>
      <c r="E135" s="633"/>
      <c r="F135" s="633"/>
      <c r="G135" s="633"/>
      <c r="H135" s="633"/>
      <c r="I135" s="633"/>
    </row>
    <row r="136" spans="1:12" s="57" customFormat="1" ht="24" customHeight="1">
      <c r="A136" s="46" t="s">
        <v>1011</v>
      </c>
      <c r="B136" s="206">
        <v>206</v>
      </c>
      <c r="C136" s="206">
        <v>62</v>
      </c>
      <c r="D136" s="206">
        <v>61</v>
      </c>
      <c r="E136" s="206">
        <v>83</v>
      </c>
      <c r="F136" s="206">
        <v>303</v>
      </c>
      <c r="G136" s="206">
        <v>81</v>
      </c>
      <c r="H136" s="206">
        <v>118</v>
      </c>
      <c r="I136" s="206">
        <v>104</v>
      </c>
      <c r="J136" s="287"/>
      <c r="K136" s="287"/>
      <c r="L136" s="287"/>
    </row>
    <row r="137" spans="1:12" s="57" customFormat="1" ht="24" customHeight="1">
      <c r="A137" s="326" t="s">
        <v>1223</v>
      </c>
      <c r="B137" s="171">
        <v>3</v>
      </c>
      <c r="C137" s="171">
        <v>2</v>
      </c>
      <c r="D137" s="171">
        <v>1</v>
      </c>
      <c r="E137" s="171" t="s">
        <v>1213</v>
      </c>
      <c r="F137" s="171">
        <v>1</v>
      </c>
      <c r="G137" s="171" t="s">
        <v>1213</v>
      </c>
      <c r="H137" s="171">
        <v>1</v>
      </c>
      <c r="I137" s="171" t="s">
        <v>1213</v>
      </c>
      <c r="J137" s="287"/>
      <c r="K137" s="287"/>
      <c r="L137" s="287"/>
    </row>
    <row r="138" spans="1:12" s="57" customFormat="1" ht="24" customHeight="1">
      <c r="A138" s="326" t="s">
        <v>1225</v>
      </c>
      <c r="B138" s="227" t="s">
        <v>1074</v>
      </c>
      <c r="C138" s="227" t="s">
        <v>1074</v>
      </c>
      <c r="D138" s="227" t="s">
        <v>1074</v>
      </c>
      <c r="E138" s="227" t="s">
        <v>1074</v>
      </c>
      <c r="F138" s="171">
        <v>3</v>
      </c>
      <c r="G138" s="171">
        <v>2</v>
      </c>
      <c r="H138" s="171" t="s">
        <v>1213</v>
      </c>
      <c r="I138" s="171">
        <v>1</v>
      </c>
      <c r="J138" s="287"/>
      <c r="K138" s="287"/>
      <c r="L138" s="287"/>
    </row>
    <row r="139" spans="1:12" s="50" customFormat="1" ht="24" customHeight="1">
      <c r="A139" s="295" t="s">
        <v>385</v>
      </c>
      <c r="B139" s="227" t="s">
        <v>1074</v>
      </c>
      <c r="C139" s="227" t="s">
        <v>1074</v>
      </c>
      <c r="D139" s="227" t="s">
        <v>1074</v>
      </c>
      <c r="E139" s="228" t="s">
        <v>1074</v>
      </c>
      <c r="F139" s="171">
        <v>1</v>
      </c>
      <c r="G139" s="171" t="s">
        <v>1213</v>
      </c>
      <c r="H139" s="171">
        <v>1</v>
      </c>
      <c r="I139" s="171" t="s">
        <v>1213</v>
      </c>
    </row>
    <row r="140" spans="1:12" s="57" customFormat="1" ht="24" customHeight="1">
      <c r="A140" s="285" t="s">
        <v>409</v>
      </c>
      <c r="B140" s="170">
        <v>4</v>
      </c>
      <c r="C140" s="170">
        <v>2</v>
      </c>
      <c r="D140" s="170">
        <v>1</v>
      </c>
      <c r="E140" s="171">
        <v>1</v>
      </c>
      <c r="F140" s="171">
        <v>7</v>
      </c>
      <c r="G140" s="171">
        <v>2</v>
      </c>
      <c r="H140" s="171">
        <v>2</v>
      </c>
      <c r="I140" s="171">
        <v>3</v>
      </c>
    </row>
    <row r="141" spans="1:12" s="57" customFormat="1" ht="24" customHeight="1">
      <c r="A141" s="286" t="s">
        <v>424</v>
      </c>
      <c r="B141" s="227" t="s">
        <v>1213</v>
      </c>
      <c r="C141" s="228" t="s">
        <v>1074</v>
      </c>
      <c r="D141" s="227" t="s">
        <v>1213</v>
      </c>
      <c r="E141" s="228" t="s">
        <v>1074</v>
      </c>
      <c r="F141" s="171">
        <v>10</v>
      </c>
      <c r="G141" s="171">
        <v>1</v>
      </c>
      <c r="H141" s="171">
        <v>1</v>
      </c>
      <c r="I141" s="171">
        <v>8</v>
      </c>
    </row>
    <row r="142" spans="1:12" s="57" customFormat="1" ht="24" customHeight="1">
      <c r="A142" s="47" t="s">
        <v>386</v>
      </c>
      <c r="B142" s="171">
        <v>3</v>
      </c>
      <c r="C142" s="228">
        <v>2</v>
      </c>
      <c r="D142" s="171">
        <v>1</v>
      </c>
      <c r="E142" s="228" t="s">
        <v>1074</v>
      </c>
      <c r="F142" s="171">
        <v>3</v>
      </c>
      <c r="G142" s="171">
        <v>2</v>
      </c>
      <c r="H142" s="171" t="s">
        <v>1213</v>
      </c>
      <c r="I142" s="171">
        <v>1</v>
      </c>
    </row>
    <row r="143" spans="1:12" s="57" customFormat="1" ht="24" customHeight="1">
      <c r="A143" s="285" t="s">
        <v>95</v>
      </c>
      <c r="B143" s="170" t="s">
        <v>1213</v>
      </c>
      <c r="C143" s="228" t="s">
        <v>1074</v>
      </c>
      <c r="D143" s="227" t="s">
        <v>1213</v>
      </c>
      <c r="E143" s="171" t="s">
        <v>1213</v>
      </c>
      <c r="F143" s="171">
        <v>6</v>
      </c>
      <c r="G143" s="171">
        <v>2</v>
      </c>
      <c r="H143" s="171">
        <v>4</v>
      </c>
      <c r="I143" s="171" t="s">
        <v>1213</v>
      </c>
    </row>
    <row r="144" spans="1:12" ht="24" customHeight="1">
      <c r="A144" s="285" t="s">
        <v>425</v>
      </c>
      <c r="B144" s="230">
        <v>1</v>
      </c>
      <c r="C144" s="228" t="s">
        <v>1074</v>
      </c>
      <c r="D144" s="227" t="s">
        <v>1213</v>
      </c>
      <c r="E144" s="228">
        <v>1</v>
      </c>
      <c r="F144" s="171" t="s">
        <v>1074</v>
      </c>
      <c r="G144" s="171" t="s">
        <v>1074</v>
      </c>
      <c r="H144" s="171" t="s">
        <v>1074</v>
      </c>
      <c r="I144" s="171" t="s">
        <v>1074</v>
      </c>
    </row>
    <row r="145" spans="1:10" ht="24" customHeight="1">
      <c r="A145" s="328" t="s">
        <v>1295</v>
      </c>
      <c r="B145" s="228" t="s">
        <v>1213</v>
      </c>
      <c r="C145" s="228" t="s">
        <v>1074</v>
      </c>
      <c r="D145" s="227" t="s">
        <v>1213</v>
      </c>
      <c r="E145" s="227" t="s">
        <v>1213</v>
      </c>
      <c r="F145" s="171">
        <v>1</v>
      </c>
      <c r="G145" s="171" t="s">
        <v>1213</v>
      </c>
      <c r="H145" s="171">
        <v>1</v>
      </c>
      <c r="I145" s="171" t="s">
        <v>1213</v>
      </c>
      <c r="J145" s="141"/>
    </row>
    <row r="146" spans="1:10" ht="24" customHeight="1">
      <c r="A146" s="47" t="s">
        <v>387</v>
      </c>
      <c r="B146" s="228" t="s">
        <v>1213</v>
      </c>
      <c r="C146" s="228" t="s">
        <v>1074</v>
      </c>
      <c r="D146" s="228" t="s">
        <v>1213</v>
      </c>
      <c r="E146" s="228" t="s">
        <v>1074</v>
      </c>
      <c r="F146" s="171">
        <v>6</v>
      </c>
      <c r="G146" s="171" t="s">
        <v>1213</v>
      </c>
      <c r="H146" s="171">
        <v>3</v>
      </c>
      <c r="I146" s="171">
        <v>3</v>
      </c>
    </row>
    <row r="147" spans="1:10" s="50" customFormat="1" ht="24" customHeight="1">
      <c r="A147" s="47" t="s">
        <v>426</v>
      </c>
      <c r="B147" s="171">
        <v>15</v>
      </c>
      <c r="C147" s="228">
        <v>6</v>
      </c>
      <c r="D147" s="228">
        <v>6</v>
      </c>
      <c r="E147" s="171">
        <v>3</v>
      </c>
      <c r="F147" s="171">
        <v>18</v>
      </c>
      <c r="G147" s="171">
        <v>8</v>
      </c>
      <c r="H147" s="171">
        <v>5</v>
      </c>
      <c r="I147" s="171">
        <v>5</v>
      </c>
    </row>
    <row r="148" spans="1:10" s="50" customFormat="1" ht="24" customHeight="1">
      <c r="A148" s="328" t="s">
        <v>1201</v>
      </c>
      <c r="B148" s="171">
        <v>2</v>
      </c>
      <c r="C148" s="228">
        <v>1</v>
      </c>
      <c r="D148" s="228">
        <v>1</v>
      </c>
      <c r="E148" s="228" t="s">
        <v>1074</v>
      </c>
      <c r="F148" s="171">
        <v>3</v>
      </c>
      <c r="G148" s="171" t="s">
        <v>1213</v>
      </c>
      <c r="H148" s="171">
        <v>2</v>
      </c>
      <c r="I148" s="171">
        <v>1</v>
      </c>
    </row>
    <row r="149" spans="1:10" s="50" customFormat="1" ht="24" customHeight="1">
      <c r="A149" s="47" t="s">
        <v>412</v>
      </c>
      <c r="B149" s="228">
        <v>23</v>
      </c>
      <c r="C149" s="228">
        <v>4</v>
      </c>
      <c r="D149" s="228">
        <v>4</v>
      </c>
      <c r="E149" s="228">
        <v>15</v>
      </c>
      <c r="F149" s="171" t="s">
        <v>1074</v>
      </c>
      <c r="G149" s="171" t="s">
        <v>1074</v>
      </c>
      <c r="H149" s="171" t="s">
        <v>1074</v>
      </c>
      <c r="I149" s="171" t="s">
        <v>1074</v>
      </c>
    </row>
    <row r="150" spans="1:10" s="50" customFormat="1" ht="24" customHeight="1">
      <c r="A150" s="285" t="s">
        <v>427</v>
      </c>
      <c r="B150" s="171">
        <v>4</v>
      </c>
      <c r="C150" s="228" t="s">
        <v>1074</v>
      </c>
      <c r="D150" s="228">
        <v>2</v>
      </c>
      <c r="E150" s="171">
        <v>2</v>
      </c>
      <c r="F150" s="171">
        <v>7</v>
      </c>
      <c r="G150" s="171">
        <v>1</v>
      </c>
      <c r="H150" s="171">
        <v>2</v>
      </c>
      <c r="I150" s="171">
        <v>4</v>
      </c>
    </row>
    <row r="151" spans="1:10" s="140" customFormat="1" ht="22.4" customHeight="1">
      <c r="A151" s="295" t="s">
        <v>392</v>
      </c>
      <c r="B151" s="170">
        <v>14</v>
      </c>
      <c r="C151" s="171">
        <v>4</v>
      </c>
      <c r="D151" s="171">
        <v>4</v>
      </c>
      <c r="E151" s="171">
        <v>6</v>
      </c>
      <c r="F151" s="171">
        <v>8</v>
      </c>
      <c r="G151" s="171">
        <v>2</v>
      </c>
      <c r="H151" s="171">
        <v>2</v>
      </c>
      <c r="I151" s="171">
        <v>4</v>
      </c>
    </row>
    <row r="152" spans="1:10" s="50" customFormat="1" ht="24" customHeight="1">
      <c r="A152" s="285" t="s">
        <v>413</v>
      </c>
      <c r="B152" s="170">
        <v>5</v>
      </c>
      <c r="C152" s="170">
        <v>1</v>
      </c>
      <c r="D152" s="227">
        <v>2</v>
      </c>
      <c r="E152" s="228">
        <v>2</v>
      </c>
      <c r="F152" s="171">
        <v>8</v>
      </c>
      <c r="G152" s="171">
        <v>4</v>
      </c>
      <c r="H152" s="171">
        <v>3</v>
      </c>
      <c r="I152" s="171">
        <v>1</v>
      </c>
    </row>
    <row r="153" spans="1:10" s="50" customFormat="1" ht="24" customHeight="1">
      <c r="A153" s="285" t="s">
        <v>428</v>
      </c>
      <c r="B153" s="171">
        <v>5</v>
      </c>
      <c r="C153" s="228">
        <v>1</v>
      </c>
      <c r="D153" s="228">
        <v>2</v>
      </c>
      <c r="E153" s="171">
        <v>2</v>
      </c>
      <c r="F153" s="171" t="s">
        <v>1074</v>
      </c>
      <c r="G153" s="171" t="s">
        <v>1074</v>
      </c>
      <c r="H153" s="171" t="s">
        <v>1074</v>
      </c>
      <c r="I153" s="171" t="s">
        <v>1074</v>
      </c>
    </row>
    <row r="154" spans="1:10" s="50" customFormat="1" ht="24" customHeight="1">
      <c r="A154" s="47" t="s">
        <v>394</v>
      </c>
      <c r="B154" s="228">
        <v>4</v>
      </c>
      <c r="C154" s="228">
        <v>2</v>
      </c>
      <c r="D154" s="228">
        <v>2</v>
      </c>
      <c r="E154" s="228" t="s">
        <v>1074</v>
      </c>
      <c r="F154" s="171">
        <v>9</v>
      </c>
      <c r="G154" s="171">
        <v>2</v>
      </c>
      <c r="H154" s="171">
        <v>2</v>
      </c>
      <c r="I154" s="171">
        <v>5</v>
      </c>
    </row>
    <row r="155" spans="1:10" s="50" customFormat="1" ht="24" customHeight="1">
      <c r="A155" s="328" t="s">
        <v>1229</v>
      </c>
      <c r="B155" s="228" t="s">
        <v>1074</v>
      </c>
      <c r="C155" s="228" t="s">
        <v>1074</v>
      </c>
      <c r="D155" s="228" t="s">
        <v>1074</v>
      </c>
      <c r="E155" s="228" t="s">
        <v>1074</v>
      </c>
      <c r="F155" s="171">
        <v>2</v>
      </c>
      <c r="G155" s="171" t="s">
        <v>1213</v>
      </c>
      <c r="H155" s="171" t="s">
        <v>1213</v>
      </c>
      <c r="I155" s="171">
        <v>2</v>
      </c>
      <c r="J155" s="57"/>
    </row>
    <row r="156" spans="1:10" s="50" customFormat="1" ht="24" customHeight="1">
      <c r="A156" s="295" t="s">
        <v>130</v>
      </c>
      <c r="B156" s="228" t="s">
        <v>1213</v>
      </c>
      <c r="C156" s="228" t="s">
        <v>1074</v>
      </c>
      <c r="D156" s="228" t="s">
        <v>1213</v>
      </c>
      <c r="E156" s="228" t="s">
        <v>1074</v>
      </c>
      <c r="F156" s="171">
        <v>3</v>
      </c>
      <c r="G156" s="171">
        <v>1</v>
      </c>
      <c r="H156" s="171">
        <v>2</v>
      </c>
      <c r="I156" s="171" t="s">
        <v>1213</v>
      </c>
    </row>
    <row r="157" spans="1:10" s="50" customFormat="1" ht="24" customHeight="1">
      <c r="A157" s="492" t="s">
        <v>1375</v>
      </c>
      <c r="B157" s="433" t="s">
        <v>1074</v>
      </c>
      <c r="C157" s="433" t="s">
        <v>1074</v>
      </c>
      <c r="D157" s="433" t="s">
        <v>1074</v>
      </c>
      <c r="E157" s="51" t="s">
        <v>1074</v>
      </c>
      <c r="F157" s="171">
        <v>1</v>
      </c>
      <c r="G157" s="171" t="s">
        <v>1213</v>
      </c>
      <c r="H157" s="171" t="s">
        <v>1213</v>
      </c>
      <c r="I157" s="171">
        <v>1</v>
      </c>
    </row>
    <row r="158" spans="1:10" s="50" customFormat="1" ht="24" customHeight="1">
      <c r="A158" s="355" t="s">
        <v>1374</v>
      </c>
      <c r="B158" s="171" t="s">
        <v>1213</v>
      </c>
      <c r="C158" s="171" t="s">
        <v>1213</v>
      </c>
      <c r="D158" s="171" t="s">
        <v>1213</v>
      </c>
      <c r="E158" s="171" t="s">
        <v>1213</v>
      </c>
      <c r="F158" s="171">
        <v>1</v>
      </c>
      <c r="G158" s="171" t="s">
        <v>1213</v>
      </c>
      <c r="H158" s="171">
        <v>1</v>
      </c>
      <c r="I158" s="171" t="s">
        <v>1213</v>
      </c>
    </row>
    <row r="159" spans="1:10" ht="24" customHeight="1">
      <c r="A159" s="295" t="s">
        <v>416</v>
      </c>
      <c r="B159" s="171">
        <v>16</v>
      </c>
      <c r="C159" s="171">
        <v>3</v>
      </c>
      <c r="D159" s="228">
        <v>6</v>
      </c>
      <c r="E159" s="228">
        <v>7</v>
      </c>
      <c r="F159" s="171">
        <v>2</v>
      </c>
      <c r="G159" s="171" t="s">
        <v>1213</v>
      </c>
      <c r="H159" s="171">
        <v>1</v>
      </c>
      <c r="I159" s="171">
        <v>1</v>
      </c>
    </row>
    <row r="160" spans="1:10" ht="24" customHeight="1">
      <c r="A160" s="295" t="s">
        <v>139</v>
      </c>
      <c r="B160" s="171">
        <v>3</v>
      </c>
      <c r="C160" s="228">
        <v>1</v>
      </c>
      <c r="D160" s="171">
        <v>1</v>
      </c>
      <c r="E160" s="171">
        <v>1</v>
      </c>
      <c r="F160" s="171">
        <v>16</v>
      </c>
      <c r="G160" s="171">
        <v>4</v>
      </c>
      <c r="H160" s="171">
        <v>5</v>
      </c>
      <c r="I160" s="171">
        <v>7</v>
      </c>
    </row>
    <row r="161" spans="1:9" s="50" customFormat="1" ht="24" customHeight="1">
      <c r="A161" s="296" t="s">
        <v>398</v>
      </c>
      <c r="B161" s="227" t="s">
        <v>1213</v>
      </c>
      <c r="C161" s="227" t="s">
        <v>1213</v>
      </c>
      <c r="D161" s="228" t="s">
        <v>1213</v>
      </c>
      <c r="E161" s="228" t="s">
        <v>1213</v>
      </c>
      <c r="F161" s="171">
        <v>2</v>
      </c>
      <c r="G161" s="171" t="s">
        <v>1213</v>
      </c>
      <c r="H161" s="171">
        <v>1</v>
      </c>
      <c r="I161" s="171">
        <v>1</v>
      </c>
    </row>
    <row r="162" spans="1:9" s="50" customFormat="1" ht="24" customHeight="1">
      <c r="A162" s="296" t="s">
        <v>399</v>
      </c>
      <c r="B162" s="171">
        <v>24</v>
      </c>
      <c r="C162" s="171">
        <v>13</v>
      </c>
      <c r="D162" s="171">
        <v>5</v>
      </c>
      <c r="E162" s="171">
        <v>6</v>
      </c>
      <c r="F162" s="171">
        <v>17</v>
      </c>
      <c r="G162" s="171">
        <v>5</v>
      </c>
      <c r="H162" s="171">
        <v>8</v>
      </c>
      <c r="I162" s="171">
        <v>4</v>
      </c>
    </row>
    <row r="163" spans="1:9" s="50" customFormat="1" ht="30">
      <c r="A163" s="285" t="s">
        <v>418</v>
      </c>
      <c r="B163" s="171">
        <v>11</v>
      </c>
      <c r="C163" s="171">
        <v>4</v>
      </c>
      <c r="D163" s="228">
        <v>5</v>
      </c>
      <c r="E163" s="171">
        <v>2</v>
      </c>
      <c r="F163" s="171">
        <v>32</v>
      </c>
      <c r="G163" s="171">
        <v>3</v>
      </c>
      <c r="H163" s="171">
        <v>23</v>
      </c>
      <c r="I163" s="171">
        <v>6</v>
      </c>
    </row>
    <row r="164" spans="1:9" ht="20">
      <c r="A164" s="284" t="s">
        <v>429</v>
      </c>
      <c r="B164" s="171">
        <v>13</v>
      </c>
      <c r="C164" s="171">
        <v>4</v>
      </c>
      <c r="D164" s="228">
        <v>5</v>
      </c>
      <c r="E164" s="171">
        <v>4</v>
      </c>
      <c r="F164" s="171">
        <v>6</v>
      </c>
      <c r="G164" s="171">
        <v>4</v>
      </c>
      <c r="H164" s="171">
        <v>2</v>
      </c>
      <c r="I164" s="171" t="s">
        <v>1213</v>
      </c>
    </row>
    <row r="165" spans="1:9" ht="20">
      <c r="A165" s="327" t="s">
        <v>1227</v>
      </c>
      <c r="B165" s="228" t="s">
        <v>1074</v>
      </c>
      <c r="C165" s="228" t="s">
        <v>1074</v>
      </c>
      <c r="D165" s="228" t="s">
        <v>1074</v>
      </c>
      <c r="E165" s="228" t="s">
        <v>1074</v>
      </c>
      <c r="F165" s="171">
        <v>9</v>
      </c>
      <c r="G165" s="171">
        <v>1</v>
      </c>
      <c r="H165" s="171">
        <v>4</v>
      </c>
      <c r="I165" s="171">
        <v>4</v>
      </c>
    </row>
    <row r="166" spans="1:9" ht="24" customHeight="1">
      <c r="A166" s="285" t="s">
        <v>145</v>
      </c>
      <c r="B166" s="227">
        <v>1</v>
      </c>
      <c r="C166" s="228" t="s">
        <v>1074</v>
      </c>
      <c r="D166" s="228" t="s">
        <v>1074</v>
      </c>
      <c r="E166" s="228">
        <v>1</v>
      </c>
      <c r="F166" s="171" t="s">
        <v>1213</v>
      </c>
      <c r="G166" s="171" t="s">
        <v>1074</v>
      </c>
      <c r="H166" s="171" t="s">
        <v>1074</v>
      </c>
      <c r="I166" s="171" t="s">
        <v>1213</v>
      </c>
    </row>
    <row r="167" spans="1:9" s="50" customFormat="1" ht="24" customHeight="1">
      <c r="A167" s="295" t="s">
        <v>430</v>
      </c>
      <c r="B167" s="170">
        <v>16</v>
      </c>
      <c r="C167" s="227">
        <v>1</v>
      </c>
      <c r="D167" s="170">
        <v>5</v>
      </c>
      <c r="E167" s="171">
        <v>10</v>
      </c>
      <c r="F167" s="171">
        <v>14</v>
      </c>
      <c r="G167" s="171">
        <v>7</v>
      </c>
      <c r="H167" s="171">
        <v>4</v>
      </c>
      <c r="I167" s="171">
        <v>3</v>
      </c>
    </row>
    <row r="168" spans="1:9" s="50" customFormat="1" ht="24" customHeight="1">
      <c r="A168" s="285" t="s">
        <v>170</v>
      </c>
      <c r="B168" s="228">
        <v>12</v>
      </c>
      <c r="C168" s="228">
        <v>2</v>
      </c>
      <c r="D168" s="228">
        <v>4</v>
      </c>
      <c r="E168" s="228">
        <v>6</v>
      </c>
      <c r="F168" s="171">
        <v>29</v>
      </c>
      <c r="G168" s="171">
        <v>4</v>
      </c>
      <c r="H168" s="171">
        <v>14</v>
      </c>
      <c r="I168" s="171">
        <v>11</v>
      </c>
    </row>
    <row r="169" spans="1:9" s="50" customFormat="1" ht="24" customHeight="1">
      <c r="A169" s="285" t="s">
        <v>423</v>
      </c>
      <c r="B169" s="171">
        <v>8</v>
      </c>
      <c r="C169" s="228">
        <v>5</v>
      </c>
      <c r="D169" s="228">
        <v>2</v>
      </c>
      <c r="E169" s="171">
        <v>1</v>
      </c>
      <c r="F169" s="171">
        <v>28</v>
      </c>
      <c r="G169" s="171">
        <v>12</v>
      </c>
      <c r="H169" s="171">
        <v>9</v>
      </c>
      <c r="I169" s="171">
        <v>7</v>
      </c>
    </row>
    <row r="170" spans="1:9" s="50" customFormat="1" ht="24" customHeight="1">
      <c r="A170" s="285" t="s">
        <v>420</v>
      </c>
      <c r="B170" s="228">
        <v>3</v>
      </c>
      <c r="C170" s="228" t="s">
        <v>1074</v>
      </c>
      <c r="D170" s="228">
        <v>1</v>
      </c>
      <c r="E170" s="228">
        <v>2</v>
      </c>
      <c r="F170" s="171">
        <v>5</v>
      </c>
      <c r="G170" s="171">
        <v>1</v>
      </c>
      <c r="H170" s="171">
        <v>1</v>
      </c>
      <c r="I170" s="171">
        <v>3</v>
      </c>
    </row>
    <row r="171" spans="1:9" s="50" customFormat="1" ht="24" customHeight="1">
      <c r="A171" s="328" t="s">
        <v>1218</v>
      </c>
      <c r="B171" s="228">
        <v>1</v>
      </c>
      <c r="C171" s="228">
        <v>1</v>
      </c>
      <c r="D171" s="228" t="s">
        <v>1074</v>
      </c>
      <c r="E171" s="228" t="s">
        <v>1074</v>
      </c>
      <c r="F171" s="171">
        <v>1</v>
      </c>
      <c r="G171" s="171" t="s">
        <v>1213</v>
      </c>
      <c r="H171" s="171" t="s">
        <v>1213</v>
      </c>
      <c r="I171" s="171">
        <v>1</v>
      </c>
    </row>
    <row r="172" spans="1:9" s="50" customFormat="1" ht="24" customHeight="1">
      <c r="A172" s="285" t="s">
        <v>1145</v>
      </c>
      <c r="B172" s="171">
        <v>1</v>
      </c>
      <c r="C172" s="228" t="s">
        <v>1074</v>
      </c>
      <c r="D172" s="228" t="s">
        <v>1074</v>
      </c>
      <c r="E172" s="171">
        <v>1</v>
      </c>
      <c r="F172" s="171">
        <v>4</v>
      </c>
      <c r="G172" s="228" t="s">
        <v>1074</v>
      </c>
      <c r="H172" s="171">
        <v>1</v>
      </c>
      <c r="I172" s="171">
        <v>3</v>
      </c>
    </row>
    <row r="173" spans="1:9" s="50" customFormat="1" ht="24" customHeight="1">
      <c r="A173" s="296" t="s">
        <v>404</v>
      </c>
      <c r="B173" s="171">
        <v>1</v>
      </c>
      <c r="C173" s="171">
        <v>1</v>
      </c>
      <c r="D173" s="228" t="s">
        <v>1074</v>
      </c>
      <c r="E173" s="228" t="s">
        <v>1074</v>
      </c>
      <c r="F173" s="171" t="s">
        <v>1213</v>
      </c>
      <c r="G173" s="171" t="s">
        <v>1213</v>
      </c>
      <c r="H173" s="171" t="s">
        <v>1213</v>
      </c>
      <c r="I173" s="171" t="s">
        <v>1213</v>
      </c>
    </row>
    <row r="174" spans="1:9" s="50" customFormat="1" ht="24" customHeight="1">
      <c r="A174" s="327" t="s">
        <v>1226</v>
      </c>
      <c r="B174" s="228" t="s">
        <v>1074</v>
      </c>
      <c r="C174" s="228" t="s">
        <v>1074</v>
      </c>
      <c r="D174" s="228" t="s">
        <v>1074</v>
      </c>
      <c r="E174" s="228" t="s">
        <v>1074</v>
      </c>
      <c r="F174" s="171">
        <v>1</v>
      </c>
      <c r="G174" s="171" t="s">
        <v>1213</v>
      </c>
      <c r="H174" s="171" t="s">
        <v>1213</v>
      </c>
      <c r="I174" s="171">
        <v>1</v>
      </c>
    </row>
    <row r="175" spans="1:9" s="50" customFormat="1" ht="24" customHeight="1">
      <c r="A175" s="293" t="s">
        <v>406</v>
      </c>
      <c r="B175" s="228">
        <v>1</v>
      </c>
      <c r="C175" s="228" t="s">
        <v>1074</v>
      </c>
      <c r="D175" s="228" t="s">
        <v>1074</v>
      </c>
      <c r="E175" s="228">
        <v>1</v>
      </c>
      <c r="F175" s="171">
        <v>14</v>
      </c>
      <c r="G175" s="171">
        <v>5</v>
      </c>
      <c r="H175" s="171">
        <v>5</v>
      </c>
      <c r="I175" s="171">
        <v>4</v>
      </c>
    </row>
    <row r="176" spans="1:9" s="50" customFormat="1" ht="24" customHeight="1">
      <c r="A176" s="47" t="s">
        <v>407</v>
      </c>
      <c r="B176" s="171">
        <v>1</v>
      </c>
      <c r="C176" s="228" t="s">
        <v>1074</v>
      </c>
      <c r="D176" s="228" t="s">
        <v>1074</v>
      </c>
      <c r="E176" s="171">
        <v>1</v>
      </c>
      <c r="F176" s="171">
        <v>9</v>
      </c>
      <c r="G176" s="171">
        <v>2</v>
      </c>
      <c r="H176" s="171">
        <v>6</v>
      </c>
      <c r="I176" s="171">
        <v>1</v>
      </c>
    </row>
    <row r="177" spans="1:11" s="50" customFormat="1" ht="24" customHeight="1">
      <c r="A177" s="328" t="s">
        <v>1209</v>
      </c>
      <c r="B177" s="171">
        <v>2</v>
      </c>
      <c r="C177" s="228" t="s">
        <v>1074</v>
      </c>
      <c r="D177" s="228" t="s">
        <v>1074</v>
      </c>
      <c r="E177" s="171">
        <v>2</v>
      </c>
      <c r="F177" s="228" t="s">
        <v>1074</v>
      </c>
      <c r="G177" s="228" t="s">
        <v>1074</v>
      </c>
      <c r="H177" s="228" t="s">
        <v>1074</v>
      </c>
      <c r="I177" s="228" t="s">
        <v>1074</v>
      </c>
    </row>
    <row r="178" spans="1:11" s="50" customFormat="1" ht="24" customHeight="1">
      <c r="A178" s="47" t="s">
        <v>408</v>
      </c>
      <c r="B178" s="171">
        <v>4</v>
      </c>
      <c r="C178" s="228" t="s">
        <v>1074</v>
      </c>
      <c r="D178" s="228" t="s">
        <v>1074</v>
      </c>
      <c r="E178" s="228">
        <v>4</v>
      </c>
      <c r="F178" s="171">
        <v>5</v>
      </c>
      <c r="G178" s="171" t="s">
        <v>1213</v>
      </c>
      <c r="H178" s="171" t="s">
        <v>1213</v>
      </c>
      <c r="I178" s="171">
        <v>5</v>
      </c>
    </row>
    <row r="179" spans="1:11" ht="24">
      <c r="A179" s="47" t="s">
        <v>1377</v>
      </c>
      <c r="B179" s="230">
        <v>5</v>
      </c>
      <c r="C179" s="230">
        <v>2</v>
      </c>
      <c r="D179" s="230">
        <v>1</v>
      </c>
      <c r="E179" s="230">
        <v>2</v>
      </c>
      <c r="F179" s="171">
        <v>11</v>
      </c>
      <c r="G179" s="171">
        <v>6</v>
      </c>
      <c r="H179" s="171">
        <v>2</v>
      </c>
      <c r="I179" s="171">
        <v>3</v>
      </c>
    </row>
    <row r="180" spans="1:11">
      <c r="B180" s="145"/>
      <c r="C180" s="145"/>
      <c r="D180" s="145"/>
      <c r="E180" s="145"/>
      <c r="F180" s="145"/>
      <c r="G180" s="145"/>
      <c r="H180" s="145"/>
      <c r="I180" s="145"/>
    </row>
    <row r="181" spans="1:11" ht="46.9" customHeight="1">
      <c r="A181" s="595" t="s">
        <v>1380</v>
      </c>
      <c r="B181" s="595"/>
      <c r="C181" s="595"/>
      <c r="D181" s="595"/>
      <c r="E181" s="595"/>
      <c r="F181" s="595"/>
      <c r="G181" s="595"/>
      <c r="H181" s="595"/>
      <c r="I181" s="595"/>
    </row>
    <row r="182" spans="1:11" ht="46.75" customHeight="1">
      <c r="A182" s="634" t="s">
        <v>1381</v>
      </c>
      <c r="B182" s="634"/>
      <c r="C182" s="634"/>
      <c r="D182" s="634"/>
      <c r="E182" s="634"/>
      <c r="F182" s="634"/>
      <c r="G182" s="634"/>
      <c r="H182" s="634"/>
      <c r="I182" s="634"/>
    </row>
    <row r="183" spans="1:11">
      <c r="A183" s="314"/>
      <c r="B183" s="30"/>
      <c r="C183" s="30"/>
      <c r="D183" s="30"/>
      <c r="E183" s="30"/>
      <c r="F183" s="30"/>
      <c r="G183" s="30"/>
      <c r="H183" s="30"/>
      <c r="I183" s="30"/>
      <c r="J183" s="30"/>
      <c r="K183" s="30"/>
    </row>
    <row r="184" spans="1:11">
      <c r="A184" s="314"/>
      <c r="B184" s="30"/>
      <c r="C184" s="30"/>
      <c r="D184" s="30"/>
      <c r="E184" s="30"/>
      <c r="F184" s="30"/>
      <c r="G184" s="30"/>
      <c r="H184" s="30"/>
      <c r="I184" s="30"/>
      <c r="J184" s="30"/>
      <c r="K184" s="30"/>
    </row>
    <row r="185" spans="1:11">
      <c r="A185" s="314"/>
      <c r="B185" s="30"/>
      <c r="C185" s="30"/>
      <c r="D185" s="30"/>
      <c r="E185" s="30"/>
      <c r="F185" s="30"/>
      <c r="G185" s="30"/>
      <c r="H185" s="30"/>
      <c r="I185" s="30"/>
      <c r="J185" s="30"/>
      <c r="K185" s="30"/>
    </row>
    <row r="186" spans="1:1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</row>
  </sheetData>
  <sortState ref="A139:I179">
    <sortCondition ref="A139:A179"/>
  </sortState>
  <mergeCells count="20">
    <mergeCell ref="A89:I89"/>
    <mergeCell ref="A135:I135"/>
    <mergeCell ref="A181:I181"/>
    <mergeCell ref="A182:I182"/>
    <mergeCell ref="A7:I7"/>
    <mergeCell ref="A46:I46"/>
    <mergeCell ref="A1:I1"/>
    <mergeCell ref="A2:I2"/>
    <mergeCell ref="A4:A6"/>
    <mergeCell ref="B4:E4"/>
    <mergeCell ref="F4:I4"/>
    <mergeCell ref="B5:B6"/>
    <mergeCell ref="C5:C6"/>
    <mergeCell ref="D5:D6"/>
    <mergeCell ref="E5:E6"/>
    <mergeCell ref="G3:I3"/>
    <mergeCell ref="F5:F6"/>
    <mergeCell ref="G5:G6"/>
    <mergeCell ref="H5:H6"/>
    <mergeCell ref="I5:I6"/>
  </mergeCells>
  <conditionalFormatting sqref="A46:I46 A89:I89 A135:I135 A181 A136:A138 A47 A67 A49 A90:A92 A112 A128 A134 A146:A149 A162 A168 A173:A175 A142 A30:A37 A40:A45 A56:A60 A85:A88 A103 A62:A65 A71:A83 A154:A157 A177:A179 A69">
    <cfRule type="cellIs" dxfId="110" priority="81" operator="equal">
      <formula>0</formula>
    </cfRule>
  </conditionalFormatting>
  <conditionalFormatting sqref="A28">
    <cfRule type="cellIs" dxfId="109" priority="79" operator="equal">
      <formula>0</formula>
    </cfRule>
  </conditionalFormatting>
  <conditionalFormatting sqref="A50">
    <cfRule type="cellIs" dxfId="108" priority="77" operator="equal">
      <formula>0</formula>
    </cfRule>
  </conditionalFormatting>
  <conditionalFormatting sqref="A55">
    <cfRule type="cellIs" dxfId="107" priority="75" operator="equal">
      <formula>0</formula>
    </cfRule>
  </conditionalFormatting>
  <conditionalFormatting sqref="A176">
    <cfRule type="cellIs" dxfId="106" priority="73" operator="equal">
      <formula>0</formula>
    </cfRule>
  </conditionalFormatting>
  <conditionalFormatting sqref="A84">
    <cfRule type="cellIs" dxfId="105" priority="68" operator="equal">
      <formula>0</formula>
    </cfRule>
  </conditionalFormatting>
  <conditionalFormatting sqref="A66">
    <cfRule type="cellIs" dxfId="104" priority="67" operator="equal">
      <formula>0</formula>
    </cfRule>
  </conditionalFormatting>
  <conditionalFormatting sqref="A70">
    <cfRule type="cellIs" dxfId="103" priority="64" operator="equal">
      <formula>0</formula>
    </cfRule>
  </conditionalFormatting>
  <conditionalFormatting sqref="A27">
    <cfRule type="cellIs" dxfId="102" priority="63" operator="equal">
      <formula>0</formula>
    </cfRule>
  </conditionalFormatting>
  <conditionalFormatting sqref="A29">
    <cfRule type="cellIs" dxfId="101" priority="61" operator="equal">
      <formula>0</formula>
    </cfRule>
  </conditionalFormatting>
  <conditionalFormatting sqref="A38:A39">
    <cfRule type="cellIs" dxfId="100" priority="59" operator="equal">
      <formula>0</formula>
    </cfRule>
  </conditionalFormatting>
  <conditionalFormatting sqref="A93">
    <cfRule type="cellIs" dxfId="99" priority="58" operator="equal">
      <formula>0</formula>
    </cfRule>
  </conditionalFormatting>
  <conditionalFormatting sqref="A94">
    <cfRule type="cellIs" dxfId="98" priority="57" operator="equal">
      <formula>0</formula>
    </cfRule>
  </conditionalFormatting>
  <conditionalFormatting sqref="A96">
    <cfRule type="cellIs" dxfId="97" priority="55" operator="equal">
      <formula>0</formula>
    </cfRule>
  </conditionalFormatting>
  <conditionalFormatting sqref="A97">
    <cfRule type="cellIs" dxfId="96" priority="54" operator="equal">
      <formula>0</formula>
    </cfRule>
  </conditionalFormatting>
  <conditionalFormatting sqref="A98">
    <cfRule type="cellIs" dxfId="95" priority="53" operator="equal">
      <formula>0</formula>
    </cfRule>
  </conditionalFormatting>
  <conditionalFormatting sqref="A99">
    <cfRule type="cellIs" dxfId="94" priority="52" operator="equal">
      <formula>0</formula>
    </cfRule>
  </conditionalFormatting>
  <conditionalFormatting sqref="A100">
    <cfRule type="cellIs" dxfId="93" priority="51" operator="equal">
      <formula>0</formula>
    </cfRule>
  </conditionalFormatting>
  <conditionalFormatting sqref="A101">
    <cfRule type="cellIs" dxfId="92" priority="50" operator="equal">
      <formula>0</formula>
    </cfRule>
  </conditionalFormatting>
  <conditionalFormatting sqref="A102">
    <cfRule type="cellIs" dxfId="91" priority="49" operator="equal">
      <formula>0</formula>
    </cfRule>
  </conditionalFormatting>
  <conditionalFormatting sqref="A104">
    <cfRule type="cellIs" dxfId="90" priority="48" operator="equal">
      <formula>0</formula>
    </cfRule>
  </conditionalFormatting>
  <conditionalFormatting sqref="A106">
    <cfRule type="cellIs" dxfId="89" priority="47" operator="equal">
      <formula>0</formula>
    </cfRule>
  </conditionalFormatting>
  <conditionalFormatting sqref="A107">
    <cfRule type="cellIs" dxfId="88" priority="46" operator="equal">
      <formula>0</formula>
    </cfRule>
  </conditionalFormatting>
  <conditionalFormatting sqref="A108">
    <cfRule type="cellIs" dxfId="87" priority="44" operator="equal">
      <formula>0</formula>
    </cfRule>
  </conditionalFormatting>
  <conditionalFormatting sqref="A109">
    <cfRule type="cellIs" dxfId="86" priority="43" operator="equal">
      <formula>0</formula>
    </cfRule>
  </conditionalFormatting>
  <conditionalFormatting sqref="A110">
    <cfRule type="cellIs" dxfId="85" priority="42" operator="equal">
      <formula>0</formula>
    </cfRule>
  </conditionalFormatting>
  <conditionalFormatting sqref="A111">
    <cfRule type="cellIs" dxfId="84" priority="41" operator="equal">
      <formula>0</formula>
    </cfRule>
  </conditionalFormatting>
  <conditionalFormatting sqref="A114">
    <cfRule type="cellIs" dxfId="83" priority="39" operator="equal">
      <formula>0</formula>
    </cfRule>
  </conditionalFormatting>
  <conditionalFormatting sqref="A117">
    <cfRule type="cellIs" dxfId="82" priority="38" operator="equal">
      <formula>0</formula>
    </cfRule>
  </conditionalFormatting>
  <conditionalFormatting sqref="A118">
    <cfRule type="cellIs" dxfId="81" priority="37" operator="equal">
      <formula>0</formula>
    </cfRule>
  </conditionalFormatting>
  <conditionalFormatting sqref="A119">
    <cfRule type="cellIs" dxfId="80" priority="36" operator="equal">
      <formula>0</formula>
    </cfRule>
  </conditionalFormatting>
  <conditionalFormatting sqref="A120:A121">
    <cfRule type="cellIs" dxfId="79" priority="35" operator="equal">
      <formula>0</formula>
    </cfRule>
  </conditionalFormatting>
  <conditionalFormatting sqref="A122:A123">
    <cfRule type="cellIs" dxfId="78" priority="34" operator="equal">
      <formula>0</formula>
    </cfRule>
  </conditionalFormatting>
  <conditionalFormatting sqref="A124">
    <cfRule type="cellIs" dxfId="77" priority="33" operator="equal">
      <formula>0</formula>
    </cfRule>
  </conditionalFormatting>
  <conditionalFormatting sqref="A127">
    <cfRule type="cellIs" dxfId="76" priority="32" operator="equal">
      <formula>0</formula>
    </cfRule>
  </conditionalFormatting>
  <conditionalFormatting sqref="A129:A130">
    <cfRule type="cellIs" dxfId="75" priority="31" operator="equal">
      <formula>0</formula>
    </cfRule>
  </conditionalFormatting>
  <conditionalFormatting sqref="A131">
    <cfRule type="cellIs" dxfId="74" priority="30" operator="equal">
      <formula>0</formula>
    </cfRule>
  </conditionalFormatting>
  <conditionalFormatting sqref="A132">
    <cfRule type="cellIs" dxfId="73" priority="29" operator="equal">
      <formula>0</formula>
    </cfRule>
  </conditionalFormatting>
  <conditionalFormatting sqref="A133">
    <cfRule type="cellIs" dxfId="72" priority="28" operator="equal">
      <formula>0</formula>
    </cfRule>
  </conditionalFormatting>
  <conditionalFormatting sqref="A139">
    <cfRule type="cellIs" dxfId="71" priority="27" operator="equal">
      <formula>0</formula>
    </cfRule>
  </conditionalFormatting>
  <conditionalFormatting sqref="A140">
    <cfRule type="cellIs" dxfId="70" priority="25" operator="equal">
      <formula>0</formula>
    </cfRule>
  </conditionalFormatting>
  <conditionalFormatting sqref="A143">
    <cfRule type="cellIs" dxfId="69" priority="24" operator="equal">
      <formula>0</formula>
    </cfRule>
  </conditionalFormatting>
  <conditionalFormatting sqref="A150">
    <cfRule type="cellIs" dxfId="68" priority="22" operator="equal">
      <formula>0</formula>
    </cfRule>
  </conditionalFormatting>
  <conditionalFormatting sqref="A152">
    <cfRule type="cellIs" dxfId="67" priority="21" operator="equal">
      <formula>0</formula>
    </cfRule>
  </conditionalFormatting>
  <conditionalFormatting sqref="A153">
    <cfRule type="cellIs" dxfId="66" priority="19" operator="equal">
      <formula>0</formula>
    </cfRule>
  </conditionalFormatting>
  <conditionalFormatting sqref="A161">
    <cfRule type="cellIs" dxfId="65" priority="16" operator="equal">
      <formula>0</formula>
    </cfRule>
  </conditionalFormatting>
  <conditionalFormatting sqref="A163">
    <cfRule type="cellIs" dxfId="64" priority="15" operator="equal">
      <formula>0</formula>
    </cfRule>
  </conditionalFormatting>
  <conditionalFormatting sqref="A164:A165">
    <cfRule type="cellIs" dxfId="63" priority="14" operator="equal">
      <formula>0</formula>
    </cfRule>
  </conditionalFormatting>
  <conditionalFormatting sqref="A166">
    <cfRule type="cellIs" dxfId="62" priority="13" operator="equal">
      <formula>0</formula>
    </cfRule>
  </conditionalFormatting>
  <conditionalFormatting sqref="A167">
    <cfRule type="cellIs" dxfId="61" priority="12" operator="equal">
      <formula>0</formula>
    </cfRule>
  </conditionalFormatting>
  <conditionalFormatting sqref="A169">
    <cfRule type="cellIs" dxfId="60" priority="11" operator="equal">
      <formula>0</formula>
    </cfRule>
  </conditionalFormatting>
  <conditionalFormatting sqref="A170:A171">
    <cfRule type="cellIs" dxfId="59" priority="10" operator="equal">
      <formula>0</formula>
    </cfRule>
  </conditionalFormatting>
  <conditionalFormatting sqref="A172">
    <cfRule type="cellIs" dxfId="58" priority="9" operator="equal">
      <formula>0</formula>
    </cfRule>
  </conditionalFormatting>
  <conditionalFormatting sqref="A144:A145">
    <cfRule type="cellIs" dxfId="57" priority="8" operator="equal">
      <formula>0</formula>
    </cfRule>
  </conditionalFormatting>
  <conditionalFormatting sqref="A160">
    <cfRule type="cellIs" dxfId="56" priority="5" operator="equal">
      <formula>0</formula>
    </cfRule>
  </conditionalFormatting>
  <conditionalFormatting sqref="A125:A126">
    <cfRule type="cellIs" dxfId="55" priority="4" operator="equal">
      <formula>0</formula>
    </cfRule>
  </conditionalFormatting>
  <conditionalFormatting sqref="A113">
    <cfRule type="cellIs" dxfId="54" priority="2" operator="equal">
      <formula>0</formula>
    </cfRule>
  </conditionalFormatting>
  <conditionalFormatting sqref="A68">
    <cfRule type="cellIs" dxfId="53" priority="3" operator="equal">
      <formula>0</formula>
    </cfRule>
  </conditionalFormatting>
  <conditionalFormatting sqref="A158">
    <cfRule type="cellIs" dxfId="52" priority="1" operator="equal">
      <formula>0</formula>
    </cfRule>
  </conditionalFormatting>
  <hyperlinks>
    <hyperlink ref="G3" location="'Spis tablic'!A4" display="Powrót do spisu treści" xr:uid="{00000000-0004-0000-1D00-000000000000}"/>
    <hyperlink ref="G3:I3" location="'Spis tablic  List of tables'!A63" display="'Spis tablic  List of tables'!A63" xr:uid="{00000000-0004-0000-1D00-000001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42"/>
  <dimension ref="A1:O121"/>
  <sheetViews>
    <sheetView zoomScaleNormal="100" workbookViewId="0">
      <pane ySplit="4" topLeftCell="A5" activePane="bottomLeft" state="frozen"/>
      <selection activeCell="I5" sqref="I5:I6"/>
      <selection pane="bottomLeft" sqref="A1:XFD1"/>
    </sheetView>
  </sheetViews>
  <sheetFormatPr defaultRowHeight="14.5"/>
  <cols>
    <col min="1" max="1" width="31.54296875" customWidth="1"/>
    <col min="2" max="5" width="13.26953125" customWidth="1"/>
  </cols>
  <sheetData>
    <row r="1" spans="1:15" ht="23.25" customHeight="1">
      <c r="A1" s="625" t="s">
        <v>1356</v>
      </c>
      <c r="B1" s="625"/>
      <c r="C1" s="625"/>
      <c r="D1" s="625"/>
      <c r="E1" s="625"/>
    </row>
    <row r="2" spans="1:15" ht="18" customHeight="1">
      <c r="A2" s="626" t="s">
        <v>963</v>
      </c>
      <c r="B2" s="626"/>
      <c r="C2" s="626"/>
      <c r="D2" s="626"/>
      <c r="E2" s="626"/>
    </row>
    <row r="3" spans="1:15" ht="30.65" customHeight="1">
      <c r="D3" s="637" t="s">
        <v>5</v>
      </c>
      <c r="E3" s="638"/>
      <c r="F3" s="154"/>
      <c r="G3" s="154"/>
    </row>
    <row r="4" spans="1:15" ht="52.5" customHeight="1">
      <c r="A4" s="25" t="s">
        <v>377</v>
      </c>
      <c r="B4" s="146" t="s">
        <v>80</v>
      </c>
      <c r="C4" s="146" t="s">
        <v>380</v>
      </c>
      <c r="D4" s="146" t="s">
        <v>1321</v>
      </c>
      <c r="E4" s="147" t="s">
        <v>381</v>
      </c>
      <c r="G4" s="141"/>
    </row>
    <row r="5" spans="1:15" ht="40.4" customHeight="1">
      <c r="A5" s="639" t="s">
        <v>1296</v>
      </c>
      <c r="B5" s="639"/>
      <c r="C5" s="639"/>
      <c r="D5" s="639"/>
      <c r="E5" s="639"/>
    </row>
    <row r="6" spans="1:15" ht="24" customHeight="1">
      <c r="A6" s="151" t="s">
        <v>1396</v>
      </c>
      <c r="B6" s="103">
        <v>23</v>
      </c>
      <c r="C6" s="103">
        <v>8</v>
      </c>
      <c r="D6" s="103">
        <v>6</v>
      </c>
      <c r="E6" s="103">
        <v>9</v>
      </c>
    </row>
    <row r="7" spans="1:15" ht="24" customHeight="1">
      <c r="A7" s="148" t="s">
        <v>1297</v>
      </c>
      <c r="B7" s="166">
        <v>2</v>
      </c>
      <c r="C7" s="166" t="s">
        <v>1074</v>
      </c>
      <c r="D7" s="166" t="s">
        <v>1074</v>
      </c>
      <c r="E7" s="166">
        <v>2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spans="1:15" ht="24" customHeight="1">
      <c r="A8" s="148" t="s">
        <v>1298</v>
      </c>
      <c r="B8" s="32">
        <v>6</v>
      </c>
      <c r="C8" s="32">
        <v>2</v>
      </c>
      <c r="D8" s="32">
        <v>2</v>
      </c>
      <c r="E8" s="32">
        <v>2</v>
      </c>
    </row>
    <row r="9" spans="1:15" s="138" customFormat="1" ht="20.5" customHeight="1">
      <c r="A9" s="148" t="s">
        <v>1299</v>
      </c>
      <c r="B9" s="32">
        <v>1</v>
      </c>
      <c r="C9" s="32" t="s">
        <v>1074</v>
      </c>
      <c r="D9" s="32">
        <v>1</v>
      </c>
      <c r="E9" s="32" t="s">
        <v>1074</v>
      </c>
      <c r="F9"/>
      <c r="G9"/>
      <c r="H9"/>
      <c r="I9"/>
      <c r="J9"/>
      <c r="K9"/>
      <c r="L9"/>
      <c r="M9"/>
      <c r="N9"/>
      <c r="O9"/>
    </row>
    <row r="10" spans="1:15" ht="24" customHeight="1">
      <c r="A10" s="282" t="s">
        <v>1300</v>
      </c>
      <c r="B10" s="32">
        <v>2</v>
      </c>
      <c r="C10" s="32">
        <v>2</v>
      </c>
      <c r="D10" s="32" t="s">
        <v>1074</v>
      </c>
      <c r="E10" s="32" t="s">
        <v>1074</v>
      </c>
    </row>
    <row r="11" spans="1:15" s="138" customFormat="1" ht="24" customHeight="1">
      <c r="A11" s="148" t="s">
        <v>1301</v>
      </c>
      <c r="B11" s="166">
        <v>1</v>
      </c>
      <c r="C11" s="166" t="s">
        <v>1074</v>
      </c>
      <c r="D11" s="166" t="s">
        <v>1074</v>
      </c>
      <c r="E11" s="166">
        <v>1</v>
      </c>
    </row>
    <row r="12" spans="1:15" ht="24" customHeight="1">
      <c r="A12" s="148" t="s">
        <v>1302</v>
      </c>
      <c r="B12" s="32">
        <v>3</v>
      </c>
      <c r="C12" s="32" t="s">
        <v>1074</v>
      </c>
      <c r="D12" s="51">
        <v>2</v>
      </c>
      <c r="E12" s="51">
        <v>1</v>
      </c>
      <c r="F12" s="152"/>
      <c r="G12" s="29"/>
      <c r="H12" s="29"/>
      <c r="I12" s="29"/>
      <c r="J12" s="29"/>
      <c r="K12" s="29"/>
      <c r="L12" s="29"/>
      <c r="M12" s="29"/>
      <c r="N12" s="29"/>
      <c r="O12" s="140"/>
    </row>
    <row r="13" spans="1:15" ht="24" customHeight="1">
      <c r="A13" s="148" t="s">
        <v>1303</v>
      </c>
      <c r="B13" s="149">
        <v>8</v>
      </c>
      <c r="C13" s="144">
        <v>4</v>
      </c>
      <c r="D13" s="149">
        <v>1</v>
      </c>
      <c r="E13" s="149">
        <v>3</v>
      </c>
    </row>
    <row r="14" spans="1:15" ht="40.4" customHeight="1">
      <c r="A14" s="639" t="s">
        <v>1404</v>
      </c>
      <c r="B14" s="639"/>
      <c r="C14" s="639"/>
      <c r="D14" s="639"/>
      <c r="E14" s="639"/>
    </row>
    <row r="15" spans="1:15" ht="24" customHeight="1">
      <c r="A15" s="151" t="s">
        <v>442</v>
      </c>
      <c r="B15" s="292">
        <v>117</v>
      </c>
      <c r="C15" s="292">
        <v>39</v>
      </c>
      <c r="D15" s="292">
        <v>37</v>
      </c>
      <c r="E15" s="292">
        <v>41</v>
      </c>
      <c r="F15" s="289"/>
      <c r="G15" s="289"/>
      <c r="H15" s="289"/>
      <c r="I15" s="289"/>
    </row>
    <row r="16" spans="1:15" ht="24" customHeight="1">
      <c r="A16" s="148" t="s">
        <v>433</v>
      </c>
      <c r="B16" s="37">
        <v>1</v>
      </c>
      <c r="C16" s="37" t="s">
        <v>1074</v>
      </c>
      <c r="D16" s="51">
        <v>1</v>
      </c>
      <c r="E16" s="51" t="s">
        <v>1074</v>
      </c>
      <c r="F16" s="138"/>
    </row>
    <row r="17" spans="1:6" ht="24" customHeight="1">
      <c r="A17" s="148" t="s">
        <v>432</v>
      </c>
      <c r="B17" s="37">
        <v>34</v>
      </c>
      <c r="C17" s="51">
        <v>15</v>
      </c>
      <c r="D17" s="51">
        <v>8</v>
      </c>
      <c r="E17" s="37">
        <v>11</v>
      </c>
      <c r="F17" s="138"/>
    </row>
    <row r="18" spans="1:6" ht="24" customHeight="1">
      <c r="A18" s="148" t="s">
        <v>434</v>
      </c>
      <c r="B18" s="37">
        <v>1</v>
      </c>
      <c r="C18" s="37" t="s">
        <v>1074</v>
      </c>
      <c r="D18" s="51">
        <v>1</v>
      </c>
      <c r="E18" s="51" t="s">
        <v>1074</v>
      </c>
      <c r="F18" s="138"/>
    </row>
    <row r="19" spans="1:6" ht="24" customHeight="1">
      <c r="A19" s="148" t="s">
        <v>1304</v>
      </c>
      <c r="B19" s="37">
        <v>1</v>
      </c>
      <c r="C19" s="37" t="s">
        <v>1074</v>
      </c>
      <c r="D19" s="51" t="s">
        <v>1074</v>
      </c>
      <c r="E19" s="51">
        <v>1</v>
      </c>
      <c r="F19" s="138"/>
    </row>
    <row r="20" spans="1:6" ht="24" customHeight="1">
      <c r="A20" s="148" t="s">
        <v>1305</v>
      </c>
      <c r="B20" s="32">
        <v>5</v>
      </c>
      <c r="C20" s="32">
        <v>4</v>
      </c>
      <c r="D20" s="32">
        <v>1</v>
      </c>
      <c r="E20" s="32" t="s">
        <v>1074</v>
      </c>
    </row>
    <row r="21" spans="1:6" ht="24" customHeight="1">
      <c r="A21" s="148" t="s">
        <v>1306</v>
      </c>
      <c r="B21" s="32">
        <v>5</v>
      </c>
      <c r="C21" s="32">
        <v>2</v>
      </c>
      <c r="D21" s="32">
        <v>1</v>
      </c>
      <c r="E21" s="32">
        <v>2</v>
      </c>
    </row>
    <row r="22" spans="1:6" ht="24" customHeight="1">
      <c r="A22" s="148" t="s">
        <v>1307</v>
      </c>
      <c r="B22" s="32">
        <v>1</v>
      </c>
      <c r="C22" s="32" t="s">
        <v>1074</v>
      </c>
      <c r="D22" s="32" t="s">
        <v>1074</v>
      </c>
      <c r="E22" s="32">
        <v>1</v>
      </c>
    </row>
    <row r="23" spans="1:6" s="138" customFormat="1" ht="24" customHeight="1">
      <c r="A23" s="148" t="s">
        <v>435</v>
      </c>
      <c r="B23" s="166">
        <v>28</v>
      </c>
      <c r="C23" s="166">
        <v>5</v>
      </c>
      <c r="D23" s="166">
        <v>15</v>
      </c>
      <c r="E23" s="166">
        <v>8</v>
      </c>
    </row>
    <row r="24" spans="1:6" s="138" customFormat="1" ht="24" customHeight="1">
      <c r="A24" s="442" t="s">
        <v>417</v>
      </c>
      <c r="B24" s="166">
        <v>1</v>
      </c>
      <c r="C24" s="166" t="s">
        <v>1074</v>
      </c>
      <c r="D24" s="166" t="s">
        <v>1074</v>
      </c>
      <c r="E24" s="166">
        <v>1</v>
      </c>
    </row>
    <row r="25" spans="1:6" s="138" customFormat="1" ht="24" customHeight="1">
      <c r="A25" s="148" t="s">
        <v>436</v>
      </c>
      <c r="B25" s="166">
        <v>4</v>
      </c>
      <c r="C25" s="166">
        <v>2</v>
      </c>
      <c r="D25" s="166">
        <v>1</v>
      </c>
      <c r="E25" s="166">
        <v>1</v>
      </c>
    </row>
    <row r="26" spans="1:6" s="138" customFormat="1" ht="24" customHeight="1">
      <c r="A26" s="148" t="s">
        <v>437</v>
      </c>
      <c r="B26" s="166">
        <v>5</v>
      </c>
      <c r="C26" s="166">
        <v>1</v>
      </c>
      <c r="D26" s="166">
        <v>2</v>
      </c>
      <c r="E26" s="166">
        <v>2</v>
      </c>
    </row>
    <row r="27" spans="1:6" s="138" customFormat="1" ht="24" customHeight="1">
      <c r="A27" s="281" t="s">
        <v>441</v>
      </c>
      <c r="B27" s="166">
        <v>5</v>
      </c>
      <c r="C27" s="166">
        <v>3</v>
      </c>
      <c r="D27" s="166" t="s">
        <v>1074</v>
      </c>
      <c r="E27" s="166">
        <v>2</v>
      </c>
    </row>
    <row r="28" spans="1:6" s="138" customFormat="1" ht="24" customHeight="1">
      <c r="A28" s="148" t="s">
        <v>1004</v>
      </c>
      <c r="B28" s="166">
        <v>6</v>
      </c>
      <c r="C28" s="166">
        <v>1</v>
      </c>
      <c r="D28" s="166">
        <v>1</v>
      </c>
      <c r="E28" s="166">
        <v>4</v>
      </c>
    </row>
    <row r="29" spans="1:6" s="138" customFormat="1" ht="24" customHeight="1">
      <c r="A29" s="148" t="s">
        <v>1006</v>
      </c>
      <c r="B29" s="37">
        <v>1</v>
      </c>
      <c r="C29" s="51">
        <v>1</v>
      </c>
      <c r="D29" s="51" t="s">
        <v>1074</v>
      </c>
      <c r="E29" s="37" t="s">
        <v>1074</v>
      </c>
    </row>
    <row r="30" spans="1:6" s="138" customFormat="1" ht="24" customHeight="1">
      <c r="A30" s="443" t="s">
        <v>404</v>
      </c>
      <c r="B30" s="37">
        <v>4</v>
      </c>
      <c r="C30" s="51" t="s">
        <v>1074</v>
      </c>
      <c r="D30" s="51">
        <v>1</v>
      </c>
      <c r="E30" s="37">
        <v>3</v>
      </c>
    </row>
    <row r="31" spans="1:6" s="138" customFormat="1" ht="24" customHeight="1">
      <c r="A31" s="148" t="s">
        <v>1308</v>
      </c>
      <c r="B31" s="37">
        <v>1</v>
      </c>
      <c r="C31" s="51" t="s">
        <v>1074</v>
      </c>
      <c r="D31" s="51">
        <v>1</v>
      </c>
      <c r="E31" s="37" t="s">
        <v>1074</v>
      </c>
    </row>
    <row r="32" spans="1:6" s="138" customFormat="1" ht="24" customHeight="1">
      <c r="A32" s="148" t="s">
        <v>439</v>
      </c>
      <c r="B32" s="37">
        <v>4</v>
      </c>
      <c r="C32" s="51" t="s">
        <v>1074</v>
      </c>
      <c r="D32" s="51">
        <v>1</v>
      </c>
      <c r="E32" s="37">
        <v>3</v>
      </c>
    </row>
    <row r="33" spans="1:9" s="138" customFormat="1" ht="24" customHeight="1">
      <c r="A33" s="148" t="s">
        <v>1309</v>
      </c>
      <c r="B33" s="37">
        <v>3</v>
      </c>
      <c r="C33" s="51">
        <v>1</v>
      </c>
      <c r="D33" s="51">
        <v>1</v>
      </c>
      <c r="E33" s="37">
        <v>1</v>
      </c>
    </row>
    <row r="34" spans="1:9" s="138" customFormat="1" ht="24" customHeight="1">
      <c r="A34" s="148" t="s">
        <v>440</v>
      </c>
      <c r="B34" s="37">
        <v>1</v>
      </c>
      <c r="C34" s="51" t="s">
        <v>1074</v>
      </c>
      <c r="D34" s="51" t="s">
        <v>1074</v>
      </c>
      <c r="E34" s="37">
        <v>1</v>
      </c>
    </row>
    <row r="35" spans="1:9" s="138" customFormat="1" ht="24" customHeight="1">
      <c r="A35" s="148" t="s">
        <v>930</v>
      </c>
      <c r="B35" s="37">
        <v>6</v>
      </c>
      <c r="C35" s="51">
        <v>4</v>
      </c>
      <c r="D35" s="51">
        <v>2</v>
      </c>
      <c r="E35" s="37" t="s">
        <v>1074</v>
      </c>
    </row>
    <row r="36" spans="1:9" ht="40.4" customHeight="1">
      <c r="A36" s="641" t="s">
        <v>1310</v>
      </c>
      <c r="B36" s="642"/>
      <c r="C36" s="642"/>
      <c r="D36" s="642"/>
      <c r="E36" s="642"/>
      <c r="F36" s="138"/>
      <c r="G36" s="138"/>
      <c r="H36" s="138"/>
      <c r="I36" s="138"/>
    </row>
    <row r="37" spans="1:9" ht="24" customHeight="1">
      <c r="A37" s="153" t="s">
        <v>444</v>
      </c>
      <c r="B37" s="292">
        <v>95</v>
      </c>
      <c r="C37" s="292">
        <v>32</v>
      </c>
      <c r="D37" s="292">
        <v>37</v>
      </c>
      <c r="E37" s="292">
        <v>26</v>
      </c>
      <c r="F37" s="138"/>
      <c r="G37" s="138"/>
      <c r="H37" s="138"/>
      <c r="I37" s="138"/>
    </row>
    <row r="38" spans="1:9" ht="24" customHeight="1">
      <c r="A38" s="443" t="s">
        <v>384</v>
      </c>
      <c r="B38" s="51">
        <v>6</v>
      </c>
      <c r="C38" s="51">
        <v>1</v>
      </c>
      <c r="D38" s="51">
        <v>3</v>
      </c>
      <c r="E38" s="51">
        <v>2</v>
      </c>
      <c r="F38" s="138"/>
      <c r="G38" s="138"/>
      <c r="H38" s="138"/>
      <c r="I38" s="138"/>
    </row>
    <row r="39" spans="1:9" ht="24" customHeight="1">
      <c r="A39" s="443" t="s">
        <v>409</v>
      </c>
      <c r="B39" s="51">
        <v>2</v>
      </c>
      <c r="C39" s="37" t="s">
        <v>1074</v>
      </c>
      <c r="D39" s="51" t="s">
        <v>1074</v>
      </c>
      <c r="E39" s="51">
        <v>2</v>
      </c>
      <c r="F39" s="138"/>
      <c r="G39" s="138"/>
      <c r="H39" s="138"/>
      <c r="I39" s="138"/>
    </row>
    <row r="40" spans="1:9" ht="24" customHeight="1">
      <c r="A40" s="443" t="s">
        <v>1312</v>
      </c>
      <c r="B40" s="51">
        <v>4</v>
      </c>
      <c r="C40" s="37" t="s">
        <v>1074</v>
      </c>
      <c r="D40" s="51">
        <v>3</v>
      </c>
      <c r="E40" s="51">
        <v>1</v>
      </c>
      <c r="F40" s="138"/>
      <c r="G40" s="138"/>
      <c r="H40" s="138"/>
      <c r="I40" s="138"/>
    </row>
    <row r="41" spans="1:9" ht="24" customHeight="1">
      <c r="A41" s="148" t="s">
        <v>1311</v>
      </c>
      <c r="B41" s="37">
        <v>1</v>
      </c>
      <c r="C41" s="37" t="s">
        <v>1074</v>
      </c>
      <c r="D41" s="51" t="s">
        <v>1074</v>
      </c>
      <c r="E41" s="51">
        <v>1</v>
      </c>
      <c r="F41" s="138"/>
      <c r="G41" s="138"/>
      <c r="H41" s="138"/>
      <c r="I41" s="138"/>
    </row>
    <row r="42" spans="1:9" ht="24" customHeight="1">
      <c r="A42" s="148" t="s">
        <v>1005</v>
      </c>
      <c r="B42" s="37">
        <v>2</v>
      </c>
      <c r="C42" s="37" t="s">
        <v>1074</v>
      </c>
      <c r="D42" s="51">
        <v>1</v>
      </c>
      <c r="E42" s="51">
        <v>1</v>
      </c>
      <c r="F42" s="138"/>
      <c r="G42" s="138"/>
      <c r="H42" s="138"/>
      <c r="I42" s="138"/>
    </row>
    <row r="43" spans="1:9" ht="24" customHeight="1">
      <c r="A43" s="148" t="s">
        <v>433</v>
      </c>
      <c r="B43" s="37">
        <v>5</v>
      </c>
      <c r="C43" s="37">
        <v>2</v>
      </c>
      <c r="D43" s="51">
        <v>2</v>
      </c>
      <c r="E43" s="51">
        <v>1</v>
      </c>
      <c r="F43" s="138"/>
    </row>
    <row r="44" spans="1:9" ht="24" customHeight="1">
      <c r="A44" s="148" t="s">
        <v>443</v>
      </c>
      <c r="B44" s="37">
        <v>23</v>
      </c>
      <c r="C44" s="37">
        <v>9</v>
      </c>
      <c r="D44" s="51">
        <v>8</v>
      </c>
      <c r="E44" s="51">
        <v>6</v>
      </c>
      <c r="F44" s="138"/>
    </row>
    <row r="45" spans="1:9" ht="24" customHeight="1">
      <c r="A45" s="148" t="s">
        <v>432</v>
      </c>
      <c r="B45" s="37">
        <v>22</v>
      </c>
      <c r="C45" s="51">
        <v>5</v>
      </c>
      <c r="D45" s="51">
        <v>12</v>
      </c>
      <c r="E45" s="37">
        <v>5</v>
      </c>
      <c r="F45" s="138"/>
    </row>
    <row r="46" spans="1:9" ht="24" customHeight="1">
      <c r="A46" s="148" t="s">
        <v>434</v>
      </c>
      <c r="B46" s="37">
        <v>2</v>
      </c>
      <c r="C46" s="37" t="s">
        <v>1074</v>
      </c>
      <c r="D46" s="51">
        <v>1</v>
      </c>
      <c r="E46" s="51">
        <v>1</v>
      </c>
      <c r="F46" s="138"/>
    </row>
    <row r="47" spans="1:9" ht="24" customHeight="1">
      <c r="A47" s="442" t="s">
        <v>21</v>
      </c>
      <c r="B47" s="37">
        <v>1</v>
      </c>
      <c r="C47" s="37">
        <v>1</v>
      </c>
      <c r="D47" s="37" t="s">
        <v>1074</v>
      </c>
      <c r="E47" s="37" t="s">
        <v>1074</v>
      </c>
      <c r="F47" s="138"/>
    </row>
    <row r="48" spans="1:9" ht="24" customHeight="1">
      <c r="A48" s="148" t="s">
        <v>437</v>
      </c>
      <c r="B48" s="32">
        <v>6</v>
      </c>
      <c r="C48" s="32">
        <v>2</v>
      </c>
      <c r="D48" s="32">
        <v>3</v>
      </c>
      <c r="E48" s="32">
        <v>1</v>
      </c>
    </row>
    <row r="49" spans="1:5" ht="24" customHeight="1">
      <c r="A49" s="281" t="s">
        <v>441</v>
      </c>
      <c r="B49" s="32">
        <v>1</v>
      </c>
      <c r="C49" s="37" t="s">
        <v>1074</v>
      </c>
      <c r="D49" s="32">
        <v>1</v>
      </c>
      <c r="E49" s="37" t="s">
        <v>1074</v>
      </c>
    </row>
    <row r="50" spans="1:5" ht="24" customHeight="1">
      <c r="A50" s="148" t="s">
        <v>1006</v>
      </c>
      <c r="B50" s="37">
        <v>1</v>
      </c>
      <c r="C50" s="37" t="s">
        <v>1074</v>
      </c>
      <c r="D50" s="51" t="s">
        <v>1074</v>
      </c>
      <c r="E50" s="51">
        <v>1</v>
      </c>
    </row>
    <row r="51" spans="1:5" s="138" customFormat="1" ht="24" customHeight="1">
      <c r="A51" s="148" t="s">
        <v>439</v>
      </c>
      <c r="B51" s="166">
        <v>16</v>
      </c>
      <c r="C51" s="166">
        <v>10</v>
      </c>
      <c r="D51" s="166">
        <v>2</v>
      </c>
      <c r="E51" s="166">
        <v>4</v>
      </c>
    </row>
    <row r="52" spans="1:5" s="138" customFormat="1" ht="24" customHeight="1">
      <c r="A52" s="148" t="s">
        <v>930</v>
      </c>
      <c r="B52" s="166">
        <v>3</v>
      </c>
      <c r="C52" s="166">
        <v>2</v>
      </c>
      <c r="D52" s="166">
        <v>1</v>
      </c>
      <c r="E52" s="51" t="s">
        <v>1074</v>
      </c>
    </row>
    <row r="53" spans="1:5" ht="40.4" customHeight="1">
      <c r="A53" s="639" t="s">
        <v>1405</v>
      </c>
      <c r="B53" s="639"/>
      <c r="C53" s="639"/>
      <c r="D53" s="639"/>
      <c r="E53" s="639"/>
    </row>
    <row r="54" spans="1:5" s="138" customFormat="1" ht="25.75" customHeight="1">
      <c r="A54" s="164" t="s">
        <v>431</v>
      </c>
      <c r="B54" s="165">
        <v>56</v>
      </c>
      <c r="C54" s="165">
        <v>13</v>
      </c>
      <c r="D54" s="165">
        <v>20</v>
      </c>
      <c r="E54" s="165">
        <v>23</v>
      </c>
    </row>
    <row r="55" spans="1:5" s="138" customFormat="1" ht="25.75" customHeight="1">
      <c r="A55" s="443" t="s">
        <v>1313</v>
      </c>
      <c r="B55" s="37">
        <v>1</v>
      </c>
      <c r="C55" s="37" t="s">
        <v>1074</v>
      </c>
      <c r="D55" s="51" t="s">
        <v>1074</v>
      </c>
      <c r="E55" s="51">
        <v>1</v>
      </c>
    </row>
    <row r="56" spans="1:5" s="138" customFormat="1" ht="25.75" customHeight="1">
      <c r="A56" s="279" t="s">
        <v>384</v>
      </c>
      <c r="B56" s="37">
        <v>1</v>
      </c>
      <c r="C56" s="37" t="s">
        <v>1074</v>
      </c>
      <c r="D56" s="51" t="s">
        <v>1074</v>
      </c>
      <c r="E56" s="51">
        <v>1</v>
      </c>
    </row>
    <row r="57" spans="1:5" s="138" customFormat="1" ht="25.75" customHeight="1">
      <c r="A57" s="148" t="s">
        <v>1311</v>
      </c>
      <c r="B57" s="37">
        <v>1</v>
      </c>
      <c r="C57" s="37" t="s">
        <v>1074</v>
      </c>
      <c r="D57" s="51">
        <v>1</v>
      </c>
      <c r="E57" s="51" t="s">
        <v>1074</v>
      </c>
    </row>
    <row r="58" spans="1:5" s="138" customFormat="1" ht="25.75" customHeight="1">
      <c r="A58" s="148" t="s">
        <v>433</v>
      </c>
      <c r="B58" s="166">
        <v>13</v>
      </c>
      <c r="C58" s="37" t="s">
        <v>1074</v>
      </c>
      <c r="D58" s="166">
        <v>6</v>
      </c>
      <c r="E58" s="166">
        <v>7</v>
      </c>
    </row>
    <row r="59" spans="1:5" s="138" customFormat="1" ht="25.75" customHeight="1">
      <c r="A59" s="148" t="s">
        <v>1314</v>
      </c>
      <c r="B59" s="166">
        <v>2</v>
      </c>
      <c r="C59" s="37" t="s">
        <v>1074</v>
      </c>
      <c r="D59" s="166">
        <v>1</v>
      </c>
      <c r="E59" s="166">
        <v>1</v>
      </c>
    </row>
    <row r="60" spans="1:5" s="138" customFormat="1" ht="20.5" customHeight="1">
      <c r="A60" s="148" t="s">
        <v>432</v>
      </c>
      <c r="B60" s="166">
        <v>16</v>
      </c>
      <c r="C60" s="166">
        <v>4</v>
      </c>
      <c r="D60" s="166">
        <v>5</v>
      </c>
      <c r="E60" s="166">
        <v>7</v>
      </c>
    </row>
    <row r="61" spans="1:5" s="138" customFormat="1" ht="20.5" customHeight="1">
      <c r="A61" s="443" t="s">
        <v>248</v>
      </c>
      <c r="B61" s="166">
        <v>1</v>
      </c>
      <c r="C61" s="166">
        <v>1</v>
      </c>
      <c r="D61" s="37" t="s">
        <v>1074</v>
      </c>
      <c r="E61" s="37" t="s">
        <v>1074</v>
      </c>
    </row>
    <row r="62" spans="1:5" s="138" customFormat="1" ht="20.5" customHeight="1">
      <c r="A62" s="443" t="s">
        <v>1315</v>
      </c>
      <c r="B62" s="166">
        <v>1</v>
      </c>
      <c r="C62" s="166">
        <v>1</v>
      </c>
      <c r="D62" s="37" t="s">
        <v>1074</v>
      </c>
      <c r="E62" s="37" t="s">
        <v>1074</v>
      </c>
    </row>
    <row r="63" spans="1:5" ht="24" customHeight="1">
      <c r="A63" s="150" t="s">
        <v>438</v>
      </c>
      <c r="B63" s="149">
        <v>9</v>
      </c>
      <c r="C63" s="144">
        <v>2</v>
      </c>
      <c r="D63" s="144">
        <v>2</v>
      </c>
      <c r="E63" s="149">
        <v>5</v>
      </c>
    </row>
    <row r="64" spans="1:5" ht="24" customHeight="1">
      <c r="A64" s="148" t="s">
        <v>1004</v>
      </c>
      <c r="B64" s="37">
        <v>1</v>
      </c>
      <c r="C64" s="37" t="s">
        <v>1074</v>
      </c>
      <c r="D64" s="51">
        <v>1</v>
      </c>
      <c r="E64" s="51" t="s">
        <v>1074</v>
      </c>
    </row>
    <row r="65" spans="1:5" ht="24" customHeight="1">
      <c r="A65" s="148" t="s">
        <v>1309</v>
      </c>
      <c r="B65" s="149">
        <v>2</v>
      </c>
      <c r="C65" s="144">
        <v>1</v>
      </c>
      <c r="D65" s="37" t="s">
        <v>1074</v>
      </c>
      <c r="E65" s="149">
        <v>1</v>
      </c>
    </row>
    <row r="66" spans="1:5" ht="24" customHeight="1">
      <c r="A66" s="148" t="s">
        <v>440</v>
      </c>
      <c r="B66" s="149">
        <v>3</v>
      </c>
      <c r="C66" s="149">
        <v>1</v>
      </c>
      <c r="D66" s="144">
        <v>2</v>
      </c>
      <c r="E66" s="149" t="s">
        <v>1074</v>
      </c>
    </row>
    <row r="67" spans="1:5" ht="24" customHeight="1">
      <c r="A67" s="148" t="s">
        <v>930</v>
      </c>
      <c r="B67" s="149">
        <v>5</v>
      </c>
      <c r="C67" s="149">
        <v>3</v>
      </c>
      <c r="D67" s="144">
        <v>2</v>
      </c>
      <c r="E67" s="149" t="s">
        <v>1074</v>
      </c>
    </row>
    <row r="68" spans="1:5" ht="40.4" customHeight="1">
      <c r="A68" s="640" t="s">
        <v>1316</v>
      </c>
      <c r="B68" s="640"/>
      <c r="C68" s="640"/>
      <c r="D68" s="640"/>
      <c r="E68" s="640"/>
    </row>
    <row r="69" spans="1:5" ht="24" customHeight="1">
      <c r="A69" s="151" t="s">
        <v>442</v>
      </c>
      <c r="B69" s="103">
        <v>86</v>
      </c>
      <c r="C69" s="103">
        <v>30</v>
      </c>
      <c r="D69" s="103">
        <v>31</v>
      </c>
      <c r="E69" s="103">
        <v>25</v>
      </c>
    </row>
    <row r="70" spans="1:5" ht="24" customHeight="1">
      <c r="A70" s="443" t="s">
        <v>1313</v>
      </c>
      <c r="B70" s="37">
        <v>1</v>
      </c>
      <c r="C70" s="37" t="s">
        <v>1074</v>
      </c>
      <c r="D70" s="51" t="s">
        <v>1074</v>
      </c>
      <c r="E70" s="51">
        <v>1</v>
      </c>
    </row>
    <row r="71" spans="1:5" ht="24" customHeight="1">
      <c r="A71" s="443" t="s">
        <v>1317</v>
      </c>
      <c r="B71" s="32">
        <v>2</v>
      </c>
      <c r="C71" s="37" t="s">
        <v>1074</v>
      </c>
      <c r="D71" s="32">
        <v>2</v>
      </c>
      <c r="E71" s="51" t="s">
        <v>1074</v>
      </c>
    </row>
    <row r="72" spans="1:5" ht="24" customHeight="1">
      <c r="A72" s="148" t="s">
        <v>1005</v>
      </c>
      <c r="B72" s="32">
        <v>2</v>
      </c>
      <c r="C72" s="37" t="s">
        <v>1074</v>
      </c>
      <c r="D72" s="32">
        <v>1</v>
      </c>
      <c r="E72" s="32">
        <v>1</v>
      </c>
    </row>
    <row r="73" spans="1:5" ht="24" customHeight="1">
      <c r="A73" s="148" t="s">
        <v>443</v>
      </c>
      <c r="B73" s="32">
        <v>14</v>
      </c>
      <c r="C73" s="32">
        <v>4</v>
      </c>
      <c r="D73" s="32">
        <v>4</v>
      </c>
      <c r="E73" s="32">
        <v>6</v>
      </c>
    </row>
    <row r="74" spans="1:5" ht="24" customHeight="1">
      <c r="A74" s="148" t="s">
        <v>432</v>
      </c>
      <c r="B74" s="32">
        <v>12</v>
      </c>
      <c r="C74" s="32">
        <v>4</v>
      </c>
      <c r="D74" s="32">
        <v>3</v>
      </c>
      <c r="E74" s="32">
        <v>5</v>
      </c>
    </row>
    <row r="75" spans="1:5" ht="24" customHeight="1">
      <c r="A75" s="148" t="s">
        <v>434</v>
      </c>
      <c r="B75" s="32">
        <v>3</v>
      </c>
      <c r="C75" s="32" t="s">
        <v>1074</v>
      </c>
      <c r="D75" s="32">
        <v>1</v>
      </c>
      <c r="E75" s="32">
        <v>2</v>
      </c>
    </row>
    <row r="76" spans="1:5" ht="24" customHeight="1">
      <c r="A76" s="148" t="s">
        <v>435</v>
      </c>
      <c r="B76" s="32">
        <v>4</v>
      </c>
      <c r="C76" s="51">
        <v>2</v>
      </c>
      <c r="D76" s="32">
        <v>2</v>
      </c>
      <c r="E76" s="32" t="s">
        <v>1074</v>
      </c>
    </row>
    <row r="77" spans="1:5" ht="24" customHeight="1">
      <c r="A77" s="148" t="s">
        <v>436</v>
      </c>
      <c r="B77" s="32">
        <v>3</v>
      </c>
      <c r="C77" s="51">
        <v>2</v>
      </c>
      <c r="D77" s="32">
        <v>1</v>
      </c>
      <c r="E77" s="32" t="s">
        <v>1074</v>
      </c>
    </row>
    <row r="78" spans="1:5" ht="24" customHeight="1">
      <c r="A78" s="295" t="s">
        <v>419</v>
      </c>
      <c r="B78" s="32">
        <v>11</v>
      </c>
      <c r="C78" s="32">
        <v>6</v>
      </c>
      <c r="D78" s="32">
        <v>5</v>
      </c>
      <c r="E78" s="32" t="s">
        <v>1074</v>
      </c>
    </row>
    <row r="79" spans="1:5" ht="24" customHeight="1">
      <c r="A79" s="150" t="s">
        <v>438</v>
      </c>
      <c r="B79" s="32">
        <v>5</v>
      </c>
      <c r="C79" s="32">
        <v>3</v>
      </c>
      <c r="D79" s="32">
        <v>2</v>
      </c>
      <c r="E79" s="32" t="s">
        <v>1074</v>
      </c>
    </row>
    <row r="80" spans="1:5" ht="24" customHeight="1">
      <c r="A80" s="148" t="s">
        <v>1004</v>
      </c>
      <c r="B80" s="32">
        <v>7</v>
      </c>
      <c r="C80" s="51">
        <v>3</v>
      </c>
      <c r="D80" s="51">
        <v>1</v>
      </c>
      <c r="E80" s="32">
        <v>3</v>
      </c>
    </row>
    <row r="81" spans="1:15" ht="24" customHeight="1">
      <c r="A81" s="148" t="s">
        <v>1318</v>
      </c>
      <c r="B81" s="32">
        <v>2</v>
      </c>
      <c r="C81" s="32" t="s">
        <v>1074</v>
      </c>
      <c r="D81" s="32" t="s">
        <v>1074</v>
      </c>
      <c r="E81" s="51">
        <v>2</v>
      </c>
    </row>
    <row r="82" spans="1:15" ht="24" customHeight="1">
      <c r="A82" s="442" t="s">
        <v>1319</v>
      </c>
      <c r="B82" s="32">
        <v>4</v>
      </c>
      <c r="C82" s="32">
        <v>1</v>
      </c>
      <c r="D82" s="32">
        <v>3</v>
      </c>
      <c r="E82" s="32" t="s">
        <v>1074</v>
      </c>
    </row>
    <row r="83" spans="1:15" ht="24" customHeight="1">
      <c r="A83" s="148" t="s">
        <v>1308</v>
      </c>
      <c r="B83" s="32">
        <v>1</v>
      </c>
      <c r="C83" s="32" t="s">
        <v>1074</v>
      </c>
      <c r="D83" s="32">
        <v>1</v>
      </c>
      <c r="E83" s="32" t="s">
        <v>1074</v>
      </c>
    </row>
    <row r="84" spans="1:15" ht="24" customHeight="1">
      <c r="A84" s="148" t="s">
        <v>439</v>
      </c>
      <c r="B84" s="32">
        <v>5</v>
      </c>
      <c r="C84" s="32">
        <v>1</v>
      </c>
      <c r="D84" s="32">
        <v>1</v>
      </c>
      <c r="E84" s="32">
        <v>3</v>
      </c>
    </row>
    <row r="85" spans="1:15" ht="24" customHeight="1">
      <c r="A85" s="148" t="s">
        <v>440</v>
      </c>
      <c r="B85" s="32">
        <v>8</v>
      </c>
      <c r="C85" s="32">
        <v>3</v>
      </c>
      <c r="D85" s="32">
        <v>3</v>
      </c>
      <c r="E85" s="32">
        <v>2</v>
      </c>
    </row>
    <row r="86" spans="1:15" ht="24" customHeight="1">
      <c r="A86" s="148" t="s">
        <v>930</v>
      </c>
      <c r="B86" s="32">
        <v>2</v>
      </c>
      <c r="C86" s="32">
        <v>1</v>
      </c>
      <c r="D86" s="32">
        <v>1</v>
      </c>
      <c r="E86" s="32" t="s">
        <v>1074</v>
      </c>
      <c r="F86" s="29"/>
      <c r="G86" s="29"/>
      <c r="H86" s="29"/>
      <c r="I86" s="29"/>
      <c r="J86" s="29"/>
      <c r="K86" s="29"/>
      <c r="L86" s="29"/>
      <c r="M86" s="29"/>
      <c r="N86" s="29"/>
      <c r="O86" s="140"/>
    </row>
    <row r="87" spans="1:15">
      <c r="B87" s="29"/>
      <c r="C87" s="29"/>
      <c r="D87" s="29"/>
      <c r="E87" s="29"/>
    </row>
    <row r="88" spans="1:15">
      <c r="A88" s="29"/>
      <c r="B88" s="29"/>
      <c r="C88" s="29"/>
      <c r="D88" s="29"/>
      <c r="E88" s="29"/>
    </row>
    <row r="89" spans="1:15">
      <c r="A89" s="29"/>
      <c r="B89" s="29"/>
      <c r="C89" s="29"/>
      <c r="D89" s="29"/>
      <c r="E89" s="29"/>
    </row>
    <row r="90" spans="1:15">
      <c r="A90" s="29"/>
      <c r="B90" s="29"/>
      <c r="C90" s="29"/>
      <c r="D90" s="29"/>
      <c r="E90" s="29"/>
    </row>
    <row r="91" spans="1:15">
      <c r="A91" s="29"/>
      <c r="B91" s="29"/>
      <c r="C91" s="29"/>
      <c r="D91" s="29"/>
      <c r="E91" s="29"/>
    </row>
    <row r="92" spans="1:15">
      <c r="A92" s="29"/>
      <c r="B92" s="29"/>
      <c r="C92" s="29"/>
      <c r="D92" s="29"/>
      <c r="E92" s="29"/>
    </row>
    <row r="93" spans="1:15">
      <c r="A93" s="29"/>
      <c r="B93" s="29"/>
      <c r="C93" s="29"/>
      <c r="D93" s="29"/>
      <c r="E93" s="29"/>
    </row>
    <row r="94" spans="1:15">
      <c r="A94" s="29"/>
      <c r="B94" s="29"/>
      <c r="C94" s="29"/>
      <c r="D94" s="29"/>
      <c r="E94" s="29"/>
    </row>
    <row r="95" spans="1:15">
      <c r="A95" s="29"/>
      <c r="B95" s="29"/>
      <c r="C95" s="29"/>
      <c r="D95" s="29"/>
      <c r="E95" s="29"/>
    </row>
    <row r="96" spans="1:15">
      <c r="A96" s="29"/>
      <c r="B96" s="29"/>
      <c r="C96" s="29"/>
      <c r="D96" s="29"/>
      <c r="E96" s="29"/>
    </row>
    <row r="97" spans="1:5">
      <c r="A97" s="29"/>
      <c r="B97" s="29"/>
      <c r="C97" s="29"/>
      <c r="D97" s="29"/>
      <c r="E97" s="29"/>
    </row>
    <row r="98" spans="1:5">
      <c r="A98" s="29"/>
      <c r="B98" s="29"/>
      <c r="C98" s="29"/>
      <c r="D98" s="29"/>
      <c r="E98" s="29"/>
    </row>
    <row r="99" spans="1:5">
      <c r="A99" s="29"/>
      <c r="B99" s="29"/>
      <c r="C99" s="29"/>
      <c r="D99" s="29"/>
      <c r="E99" s="29"/>
    </row>
    <row r="100" spans="1:5">
      <c r="A100" s="29"/>
      <c r="B100" s="29"/>
      <c r="C100" s="29"/>
      <c r="D100" s="29"/>
      <c r="E100" s="29"/>
    </row>
    <row r="101" spans="1:5">
      <c r="A101" s="29"/>
      <c r="B101" s="29"/>
      <c r="C101" s="29"/>
      <c r="D101" s="29"/>
      <c r="E101" s="29"/>
    </row>
    <row r="102" spans="1:5">
      <c r="A102" s="29"/>
      <c r="B102" s="29"/>
      <c r="C102" s="29"/>
      <c r="D102" s="29"/>
      <c r="E102" s="29"/>
    </row>
    <row r="103" spans="1:5">
      <c r="A103" s="29"/>
      <c r="B103" s="29"/>
      <c r="C103" s="29"/>
      <c r="D103" s="29"/>
      <c r="E103" s="29"/>
    </row>
    <row r="104" spans="1:5">
      <c r="A104" s="30"/>
      <c r="B104" s="30"/>
      <c r="C104" s="30"/>
      <c r="D104" s="30"/>
      <c r="E104" s="30"/>
    </row>
    <row r="105" spans="1:5">
      <c r="A105" s="30"/>
      <c r="B105" s="30"/>
      <c r="C105" s="30"/>
      <c r="D105" s="30"/>
      <c r="E105" s="30"/>
    </row>
    <row r="106" spans="1:5">
      <c r="A106" s="30"/>
      <c r="B106" s="30"/>
      <c r="C106" s="30"/>
      <c r="D106" s="30"/>
      <c r="E106" s="30"/>
    </row>
    <row r="107" spans="1:5">
      <c r="A107" s="30"/>
      <c r="B107" s="30"/>
      <c r="C107" s="30"/>
      <c r="D107" s="30"/>
      <c r="E107" s="30"/>
    </row>
    <row r="108" spans="1:5">
      <c r="A108" s="30"/>
      <c r="B108" s="30"/>
      <c r="C108" s="30"/>
      <c r="D108" s="30"/>
      <c r="E108" s="30"/>
    </row>
    <row r="109" spans="1:5">
      <c r="A109" s="30"/>
      <c r="B109" s="30"/>
      <c r="C109" s="30"/>
      <c r="D109" s="30"/>
      <c r="E109" s="30"/>
    </row>
    <row r="110" spans="1:5">
      <c r="A110" s="30"/>
      <c r="B110" s="30"/>
      <c r="C110" s="30"/>
      <c r="D110" s="30"/>
      <c r="E110" s="30"/>
    </row>
    <row r="111" spans="1:5">
      <c r="A111" s="30"/>
      <c r="B111" s="30"/>
      <c r="C111" s="30"/>
      <c r="D111" s="30"/>
      <c r="E111" s="30"/>
    </row>
    <row r="112" spans="1:5">
      <c r="A112" s="30"/>
      <c r="B112" s="30"/>
      <c r="C112" s="30"/>
      <c r="D112" s="30"/>
      <c r="E112" s="30"/>
    </row>
    <row r="113" spans="1:5">
      <c r="A113" s="30"/>
      <c r="B113" s="30"/>
      <c r="C113" s="30"/>
      <c r="D113" s="30"/>
      <c r="E113" s="30"/>
    </row>
    <row r="114" spans="1:5">
      <c r="A114" s="30"/>
      <c r="B114" s="30"/>
      <c r="C114" s="30"/>
      <c r="D114" s="30"/>
      <c r="E114" s="30"/>
    </row>
    <row r="115" spans="1:5">
      <c r="A115" s="30"/>
      <c r="B115" s="30"/>
      <c r="C115" s="30"/>
      <c r="D115" s="30"/>
      <c r="E115" s="30"/>
    </row>
    <row r="116" spans="1:5">
      <c r="A116" s="30"/>
      <c r="B116" s="30"/>
      <c r="C116" s="30"/>
      <c r="D116" s="30"/>
      <c r="E116" s="30"/>
    </row>
    <row r="117" spans="1:5">
      <c r="A117" s="30"/>
      <c r="B117" s="30"/>
      <c r="C117" s="30"/>
      <c r="D117" s="30"/>
      <c r="E117" s="30"/>
    </row>
    <row r="118" spans="1:5">
      <c r="A118" s="30"/>
      <c r="B118" s="30"/>
      <c r="C118" s="30"/>
      <c r="D118" s="30"/>
      <c r="E118" s="30"/>
    </row>
    <row r="119" spans="1:5">
      <c r="A119" s="30"/>
      <c r="B119" s="30"/>
      <c r="C119" s="30"/>
      <c r="D119" s="30"/>
      <c r="E119" s="30"/>
    </row>
    <row r="120" spans="1:5">
      <c r="A120" s="30"/>
      <c r="B120" s="30"/>
      <c r="C120" s="30"/>
      <c r="D120" s="30"/>
      <c r="E120" s="30"/>
    </row>
    <row r="121" spans="1:5">
      <c r="A121" s="30"/>
      <c r="B121" s="30"/>
      <c r="C121" s="30"/>
      <c r="D121" s="30"/>
      <c r="E121" s="30"/>
    </row>
  </sheetData>
  <mergeCells count="8">
    <mergeCell ref="D3:E3"/>
    <mergeCell ref="A1:E1"/>
    <mergeCell ref="A2:E2"/>
    <mergeCell ref="A53:E53"/>
    <mergeCell ref="A68:E68"/>
    <mergeCell ref="A5:E5"/>
    <mergeCell ref="A14:E14"/>
    <mergeCell ref="A36:E36"/>
  </mergeCells>
  <conditionalFormatting sqref="A14:E14 A69 A36:E36 A15 A37 A54 A68:E68 A80 A84 A58:A60 A63 A74">
    <cfRule type="cellIs" dxfId="51" priority="94" operator="equal">
      <formula>0</formula>
    </cfRule>
  </conditionalFormatting>
  <conditionalFormatting sqref="A66">
    <cfRule type="cellIs" dxfId="50" priority="93" operator="equal">
      <formula>0</formula>
    </cfRule>
  </conditionalFormatting>
  <conditionalFormatting sqref="A67">
    <cfRule type="cellIs" dxfId="49" priority="92" operator="equal">
      <formula>0</formula>
    </cfRule>
  </conditionalFormatting>
  <conditionalFormatting sqref="A75:A76">
    <cfRule type="cellIs" dxfId="48" priority="82" operator="equal">
      <formula>0</formula>
    </cfRule>
  </conditionalFormatting>
  <conditionalFormatting sqref="A78">
    <cfRule type="cellIs" dxfId="47" priority="76" operator="equal">
      <formula>0</formula>
    </cfRule>
  </conditionalFormatting>
  <conditionalFormatting sqref="A79">
    <cfRule type="cellIs" dxfId="46" priority="75" operator="equal">
      <formula>0</formula>
    </cfRule>
  </conditionalFormatting>
  <conditionalFormatting sqref="A7">
    <cfRule type="cellIs" dxfId="45" priority="50" operator="equal">
      <formula>0</formula>
    </cfRule>
  </conditionalFormatting>
  <conditionalFormatting sqref="A5:E5">
    <cfRule type="cellIs" dxfId="44" priority="51" operator="equal">
      <formula>0</formula>
    </cfRule>
  </conditionalFormatting>
  <conditionalFormatting sqref="A8">
    <cfRule type="cellIs" dxfId="43" priority="49" operator="equal">
      <formula>0</formula>
    </cfRule>
  </conditionalFormatting>
  <conditionalFormatting sqref="A9">
    <cfRule type="cellIs" dxfId="42" priority="48" operator="equal">
      <formula>0</formula>
    </cfRule>
  </conditionalFormatting>
  <conditionalFormatting sqref="A10">
    <cfRule type="cellIs" dxfId="41" priority="47" operator="equal">
      <formula>0</formula>
    </cfRule>
  </conditionalFormatting>
  <conditionalFormatting sqref="A11">
    <cfRule type="cellIs" dxfId="40" priority="46" operator="equal">
      <formula>0</formula>
    </cfRule>
  </conditionalFormatting>
  <conditionalFormatting sqref="A12">
    <cfRule type="cellIs" dxfId="39" priority="45" operator="equal">
      <formula>0</formula>
    </cfRule>
  </conditionalFormatting>
  <conditionalFormatting sqref="A13">
    <cfRule type="cellIs" dxfId="38" priority="44" operator="equal">
      <formula>0</formula>
    </cfRule>
  </conditionalFormatting>
  <conditionalFormatting sqref="A6">
    <cfRule type="cellIs" dxfId="37" priority="43" operator="equal">
      <formula>0</formula>
    </cfRule>
  </conditionalFormatting>
  <conditionalFormatting sqref="A43">
    <cfRule type="cellIs" dxfId="36" priority="41" operator="equal">
      <formula>0</formula>
    </cfRule>
  </conditionalFormatting>
  <conditionalFormatting sqref="A45">
    <cfRule type="cellIs" dxfId="35" priority="40" operator="equal">
      <formula>0</formula>
    </cfRule>
  </conditionalFormatting>
  <conditionalFormatting sqref="A46">
    <cfRule type="cellIs" dxfId="34" priority="39" operator="equal">
      <formula>0</formula>
    </cfRule>
  </conditionalFormatting>
  <conditionalFormatting sqref="A29:A30">
    <cfRule type="cellIs" dxfId="33" priority="34" operator="equal">
      <formula>0</formula>
    </cfRule>
  </conditionalFormatting>
  <conditionalFormatting sqref="A19:A21">
    <cfRule type="cellIs" dxfId="32" priority="35" operator="equal">
      <formula>0</formula>
    </cfRule>
  </conditionalFormatting>
  <conditionalFormatting sqref="A25">
    <cfRule type="cellIs" dxfId="31" priority="26" operator="equal">
      <formula>0</formula>
    </cfRule>
  </conditionalFormatting>
  <conditionalFormatting sqref="A23">
    <cfRule type="cellIs" dxfId="30" priority="33" operator="equal">
      <formula>0</formula>
    </cfRule>
  </conditionalFormatting>
  <conditionalFormatting sqref="A27">
    <cfRule type="cellIs" dxfId="29" priority="32" operator="equal">
      <formula>0</formula>
    </cfRule>
  </conditionalFormatting>
  <conditionalFormatting sqref="A16">
    <cfRule type="cellIs" dxfId="28" priority="31" operator="equal">
      <formula>0</formula>
    </cfRule>
  </conditionalFormatting>
  <conditionalFormatting sqref="A17">
    <cfRule type="cellIs" dxfId="27" priority="30" operator="equal">
      <formula>0</formula>
    </cfRule>
  </conditionalFormatting>
  <conditionalFormatting sqref="A18:A19">
    <cfRule type="cellIs" dxfId="26" priority="29" operator="equal">
      <formula>0</formula>
    </cfRule>
  </conditionalFormatting>
  <conditionalFormatting sqref="A22">
    <cfRule type="cellIs" dxfId="25" priority="28" operator="equal">
      <formula>0</formula>
    </cfRule>
  </conditionalFormatting>
  <conditionalFormatting sqref="A24">
    <cfRule type="cellIs" dxfId="24" priority="27" operator="equal">
      <formula>0</formula>
    </cfRule>
  </conditionalFormatting>
  <conditionalFormatting sqref="A26">
    <cfRule type="cellIs" dxfId="23" priority="25" operator="equal">
      <formula>0</formula>
    </cfRule>
  </conditionalFormatting>
  <conditionalFormatting sqref="A28">
    <cfRule type="cellIs" dxfId="22" priority="24" operator="equal">
      <formula>0</formula>
    </cfRule>
  </conditionalFormatting>
  <conditionalFormatting sqref="A31">
    <cfRule type="cellIs" dxfId="21" priority="23" operator="equal">
      <formula>0</formula>
    </cfRule>
  </conditionalFormatting>
  <conditionalFormatting sqref="A34">
    <cfRule type="cellIs" dxfId="20" priority="20" operator="equal">
      <formula>0</formula>
    </cfRule>
  </conditionalFormatting>
  <conditionalFormatting sqref="A32:A33">
    <cfRule type="cellIs" dxfId="19" priority="21" operator="equal">
      <formula>0</formula>
    </cfRule>
  </conditionalFormatting>
  <conditionalFormatting sqref="A35">
    <cfRule type="cellIs" dxfId="18" priority="19" operator="equal">
      <formula>0</formula>
    </cfRule>
  </conditionalFormatting>
  <conditionalFormatting sqref="A51">
    <cfRule type="cellIs" dxfId="17" priority="12" operator="equal">
      <formula>0</formula>
    </cfRule>
  </conditionalFormatting>
  <conditionalFormatting sqref="A41:A42">
    <cfRule type="cellIs" dxfId="16" priority="18" operator="equal">
      <formula>0</formula>
    </cfRule>
  </conditionalFormatting>
  <conditionalFormatting sqref="A44">
    <cfRule type="cellIs" dxfId="15" priority="17" operator="equal">
      <formula>0</formula>
    </cfRule>
  </conditionalFormatting>
  <conditionalFormatting sqref="A47">
    <cfRule type="cellIs" dxfId="14" priority="16" operator="equal">
      <formula>0</formula>
    </cfRule>
  </conditionalFormatting>
  <conditionalFormatting sqref="A48">
    <cfRule type="cellIs" dxfId="13" priority="15" operator="equal">
      <formula>0</formula>
    </cfRule>
  </conditionalFormatting>
  <conditionalFormatting sqref="A50">
    <cfRule type="cellIs" dxfId="12" priority="14" operator="equal">
      <formula>0</formula>
    </cfRule>
  </conditionalFormatting>
  <conditionalFormatting sqref="A49">
    <cfRule type="cellIs" dxfId="11" priority="13" operator="equal">
      <formula>0</formula>
    </cfRule>
  </conditionalFormatting>
  <conditionalFormatting sqref="A52">
    <cfRule type="cellIs" dxfId="10" priority="11" operator="equal">
      <formula>0</formula>
    </cfRule>
  </conditionalFormatting>
  <conditionalFormatting sqref="A57">
    <cfRule type="cellIs" dxfId="9" priority="10" operator="equal">
      <formula>0</formula>
    </cfRule>
  </conditionalFormatting>
  <conditionalFormatting sqref="A61:A62">
    <cfRule type="cellIs" dxfId="8" priority="9" operator="equal">
      <formula>0</formula>
    </cfRule>
  </conditionalFormatting>
  <conditionalFormatting sqref="A64">
    <cfRule type="cellIs" dxfId="7" priority="8" operator="equal">
      <formula>0</formula>
    </cfRule>
  </conditionalFormatting>
  <conditionalFormatting sqref="A65">
    <cfRule type="cellIs" dxfId="6" priority="7" operator="equal">
      <formula>0</formula>
    </cfRule>
  </conditionalFormatting>
  <conditionalFormatting sqref="A72">
    <cfRule type="cellIs" dxfId="5" priority="6" operator="equal">
      <formula>0</formula>
    </cfRule>
  </conditionalFormatting>
  <conditionalFormatting sqref="A73">
    <cfRule type="cellIs" dxfId="4" priority="5" operator="equal">
      <formula>0</formula>
    </cfRule>
  </conditionalFormatting>
  <conditionalFormatting sqref="A77">
    <cfRule type="cellIs" dxfId="3" priority="4" operator="equal">
      <formula>0</formula>
    </cfRule>
  </conditionalFormatting>
  <conditionalFormatting sqref="A86">
    <cfRule type="cellIs" dxfId="2" priority="2" operator="equal">
      <formula>0</formula>
    </cfRule>
  </conditionalFormatting>
  <conditionalFormatting sqref="A85">
    <cfRule type="cellIs" dxfId="1" priority="3" operator="equal">
      <formula>0</formula>
    </cfRule>
  </conditionalFormatting>
  <conditionalFormatting sqref="A83">
    <cfRule type="cellIs" dxfId="0" priority="1" operator="equal">
      <formula>0</formula>
    </cfRule>
  </conditionalFormatting>
  <hyperlinks>
    <hyperlink ref="D3" location="'Spis tablic'!A4" display="Powrót do spisu treści" xr:uid="{00000000-0004-0000-1E00-000000000000}"/>
    <hyperlink ref="D3:E3" location="'Spis tablic  List of tables'!A65" display="'Spis tablic  List of tables'!A65" xr:uid="{00000000-0004-0000-1E00-000001000000}"/>
  </hyperlinks>
  <pageMargins left="0.7" right="0.7" top="0.75" bottom="0.75" header="0.3" footer="0.3"/>
  <pageSetup paperSize="9" scale="10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Arkusz30"/>
  <dimension ref="A1:E18"/>
  <sheetViews>
    <sheetView zoomScaleNormal="100" workbookViewId="0">
      <pane ySplit="6" topLeftCell="A7" activePane="bottomLeft" state="frozen"/>
      <selection activeCell="I5" sqref="I5:I6"/>
      <selection pane="bottomLeft" activeCell="D3" sqref="D3"/>
    </sheetView>
  </sheetViews>
  <sheetFormatPr defaultColWidth="9.1796875" defaultRowHeight="14.5"/>
  <cols>
    <col min="1" max="1" width="25.54296875" style="50" customWidth="1"/>
    <col min="2" max="2" width="5.453125" style="50" customWidth="1"/>
    <col min="3" max="3" width="24.81640625" style="50" customWidth="1"/>
    <col min="4" max="4" width="30.453125" style="50" customWidth="1"/>
    <col min="5" max="5" width="10.81640625" style="50" bestFit="1" customWidth="1"/>
    <col min="6" max="16384" width="9.1796875" style="50"/>
  </cols>
  <sheetData>
    <row r="1" spans="1:5" s="39" customFormat="1" ht="32.5" customHeight="1">
      <c r="A1" s="545" t="s">
        <v>1338</v>
      </c>
      <c r="B1" s="545"/>
      <c r="C1" s="545"/>
      <c r="D1" s="545"/>
    </row>
    <row r="2" spans="1:5" s="39" customFormat="1" ht="28.75" customHeight="1">
      <c r="A2" s="556" t="s">
        <v>1127</v>
      </c>
      <c r="B2" s="556"/>
      <c r="C2" s="556"/>
      <c r="D2" s="556"/>
    </row>
    <row r="3" spans="1:5" s="39" customFormat="1" ht="26.5" customHeight="1">
      <c r="A3" s="74"/>
      <c r="B3" s="74"/>
      <c r="C3" s="74"/>
      <c r="D3" s="490" t="s">
        <v>5</v>
      </c>
    </row>
    <row r="4" spans="1:5" s="41" customFormat="1" ht="32.25" customHeight="1">
      <c r="A4" s="573" t="s">
        <v>1191</v>
      </c>
      <c r="B4" s="643"/>
      <c r="C4" s="543" t="s">
        <v>1139</v>
      </c>
      <c r="D4" s="645" t="s">
        <v>336</v>
      </c>
    </row>
    <row r="5" spans="1:5" s="41" customFormat="1" ht="32.25" customHeight="1">
      <c r="A5" s="573"/>
      <c r="B5" s="643"/>
      <c r="C5" s="543"/>
      <c r="D5" s="646"/>
    </row>
    <row r="6" spans="1:5" s="41" customFormat="1" ht="63.75" customHeight="1">
      <c r="A6" s="548"/>
      <c r="B6" s="644"/>
      <c r="C6" s="645"/>
      <c r="D6" s="646"/>
    </row>
    <row r="7" spans="1:5" s="41" customFormat="1" ht="14.25" customHeight="1">
      <c r="A7" s="593" t="s">
        <v>337</v>
      </c>
      <c r="B7" s="115" t="s">
        <v>285</v>
      </c>
      <c r="C7" s="298">
        <v>659586491</v>
      </c>
      <c r="D7" s="125">
        <v>384955202.39999998</v>
      </c>
      <c r="E7" s="460"/>
    </row>
    <row r="8" spans="1:5" s="41" customFormat="1" ht="14.25" customHeight="1">
      <c r="A8" s="593"/>
      <c r="B8" s="52" t="s">
        <v>286</v>
      </c>
      <c r="C8" s="161">
        <v>834242509.60371494</v>
      </c>
      <c r="D8" s="161">
        <v>432230693.10000002</v>
      </c>
      <c r="E8" s="460"/>
    </row>
    <row r="9" spans="1:5" s="41" customFormat="1" ht="14.25" customHeight="1">
      <c r="A9" s="594" t="s">
        <v>940</v>
      </c>
      <c r="B9" s="115" t="s">
        <v>285</v>
      </c>
      <c r="C9" s="126">
        <v>1881769.88484</v>
      </c>
      <c r="D9" s="126">
        <v>10146528.51688</v>
      </c>
      <c r="E9" s="460"/>
    </row>
    <row r="10" spans="1:5" s="41" customFormat="1" ht="31.4" customHeight="1">
      <c r="A10" s="594"/>
      <c r="B10" s="115" t="s">
        <v>286</v>
      </c>
      <c r="C10" s="126">
        <v>1680127.9036300001</v>
      </c>
      <c r="D10" s="126">
        <v>11006915.18132</v>
      </c>
      <c r="E10" s="460"/>
    </row>
    <row r="11" spans="1:5" s="41" customFormat="1" ht="25.75" customHeight="1">
      <c r="A11" s="595" t="s">
        <v>338</v>
      </c>
      <c r="B11" s="595"/>
      <c r="C11" s="595"/>
      <c r="D11" s="595"/>
    </row>
    <row r="12" spans="1:5" s="41" customFormat="1" ht="14.25" customHeight="1">
      <c r="A12" s="594" t="s">
        <v>339</v>
      </c>
      <c r="B12" s="115" t="s">
        <v>285</v>
      </c>
      <c r="C12" s="126">
        <v>206928.10272</v>
      </c>
      <c r="D12" s="126">
        <v>4931038.8918000003</v>
      </c>
      <c r="E12" s="460"/>
    </row>
    <row r="13" spans="1:5" s="41" customFormat="1" ht="14.25" customHeight="1">
      <c r="A13" s="594"/>
      <c r="B13" s="52" t="s">
        <v>286</v>
      </c>
      <c r="C13" s="161">
        <v>516161.6</v>
      </c>
      <c r="D13" s="161">
        <v>5211874.4000000004</v>
      </c>
    </row>
    <row r="14" spans="1:5" s="41" customFormat="1" ht="14.25" customHeight="1">
      <c r="A14" s="647" t="s">
        <v>340</v>
      </c>
      <c r="B14" s="115" t="s">
        <v>285</v>
      </c>
      <c r="C14" s="125">
        <v>71827.478610000006</v>
      </c>
      <c r="D14" s="125">
        <v>1923458.9238</v>
      </c>
      <c r="E14" s="460"/>
    </row>
    <row r="15" spans="1:5" s="41" customFormat="1" ht="13.75" customHeight="1">
      <c r="A15" s="647"/>
      <c r="B15" s="115" t="s">
        <v>286</v>
      </c>
      <c r="C15" s="126">
        <v>66675.3</v>
      </c>
      <c r="D15" s="126">
        <v>2250450.7000000002</v>
      </c>
    </row>
    <row r="16" spans="1:5" s="41" customFormat="1" ht="14.25" customHeight="1">
      <c r="A16" s="594" t="s">
        <v>341</v>
      </c>
      <c r="B16" s="115" t="s">
        <v>285</v>
      </c>
      <c r="C16" s="126">
        <v>756528.51388999994</v>
      </c>
      <c r="D16" s="126">
        <v>2001222.05198</v>
      </c>
      <c r="E16" s="460"/>
    </row>
    <row r="17" spans="1:4" s="41" customFormat="1" ht="18.75" customHeight="1">
      <c r="A17" s="594"/>
      <c r="B17" s="115" t="s">
        <v>286</v>
      </c>
      <c r="C17" s="126">
        <v>894123.5</v>
      </c>
      <c r="D17" s="126">
        <v>2141770.2999999998</v>
      </c>
    </row>
    <row r="18" spans="1:4">
      <c r="C18" s="127"/>
      <c r="D18" s="128"/>
    </row>
  </sheetData>
  <mergeCells count="11">
    <mergeCell ref="A9:A10"/>
    <mergeCell ref="A11:D11"/>
    <mergeCell ref="A12:A13"/>
    <mergeCell ref="A14:A15"/>
    <mergeCell ref="A16:A17"/>
    <mergeCell ref="A7:A8"/>
    <mergeCell ref="A1:D1"/>
    <mergeCell ref="A2:D2"/>
    <mergeCell ref="A4:B6"/>
    <mergeCell ref="C4:C6"/>
    <mergeCell ref="D4:D6"/>
  </mergeCells>
  <hyperlinks>
    <hyperlink ref="D3" location="'Spis tablic  List of tables'!A67" display="'Spis tablic  List of tables'!A67" xr:uid="{00000000-0004-0000-2F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Arkusz31"/>
  <dimension ref="A1:E18"/>
  <sheetViews>
    <sheetView zoomScaleNormal="100" workbookViewId="0">
      <pane xSplit="1" ySplit="6" topLeftCell="B7" activePane="bottomRight" state="frozen"/>
      <selection activeCell="I5" sqref="I5:I6"/>
      <selection pane="topRight" activeCell="I5" sqref="I5:I6"/>
      <selection pane="bottomLeft" activeCell="I5" sqref="I5:I6"/>
      <selection pane="bottomRight" activeCell="D3" sqref="D3"/>
    </sheetView>
  </sheetViews>
  <sheetFormatPr defaultColWidth="9.1796875" defaultRowHeight="14.5"/>
  <cols>
    <col min="1" max="1" width="25.81640625" style="50" customWidth="1"/>
    <col min="2" max="2" width="5.453125" style="50" customWidth="1"/>
    <col min="3" max="3" width="22.54296875" style="50" customWidth="1"/>
    <col min="4" max="4" width="30.453125" style="50" customWidth="1"/>
    <col min="5" max="16384" width="9.1796875" style="50"/>
  </cols>
  <sheetData>
    <row r="1" spans="1:5" s="39" customFormat="1" ht="34.75" customHeight="1">
      <c r="A1" s="545" t="s">
        <v>1337</v>
      </c>
      <c r="B1" s="545"/>
      <c r="C1" s="545"/>
      <c r="D1" s="545"/>
    </row>
    <row r="2" spans="1:5" s="39" customFormat="1" ht="25.75" customHeight="1">
      <c r="A2" s="556" t="s">
        <v>1128</v>
      </c>
      <c r="B2" s="556"/>
      <c r="C2" s="556"/>
      <c r="D2" s="556"/>
    </row>
    <row r="3" spans="1:5" s="39" customFormat="1" ht="26.5" customHeight="1">
      <c r="A3" s="74"/>
      <c r="B3" s="74"/>
      <c r="C3" s="74"/>
      <c r="D3" s="490" t="s">
        <v>5</v>
      </c>
    </row>
    <row r="4" spans="1:5" s="41" customFormat="1" ht="32.25" customHeight="1">
      <c r="A4" s="573" t="s">
        <v>1191</v>
      </c>
      <c r="B4" s="643"/>
      <c r="C4" s="543" t="s">
        <v>1140</v>
      </c>
      <c r="D4" s="645" t="s">
        <v>336</v>
      </c>
    </row>
    <row r="5" spans="1:5" s="41" customFormat="1" ht="32.25" customHeight="1">
      <c r="A5" s="573"/>
      <c r="B5" s="643"/>
      <c r="C5" s="543"/>
      <c r="D5" s="646"/>
    </row>
    <row r="6" spans="1:5" s="41" customFormat="1" ht="63.75" customHeight="1">
      <c r="A6" s="548"/>
      <c r="B6" s="644"/>
      <c r="C6" s="645"/>
      <c r="D6" s="646"/>
    </row>
    <row r="7" spans="1:5" s="41" customFormat="1" ht="14.25" customHeight="1">
      <c r="A7" s="593" t="s">
        <v>337</v>
      </c>
      <c r="B7" s="115" t="s">
        <v>285</v>
      </c>
      <c r="C7" s="125">
        <v>122469272.2</v>
      </c>
      <c r="D7" s="125">
        <v>291835199.39999998</v>
      </c>
    </row>
    <row r="8" spans="1:5" s="41" customFormat="1" ht="14.25" customHeight="1">
      <c r="A8" s="593"/>
      <c r="B8" s="52" t="s">
        <v>286</v>
      </c>
      <c r="C8" s="161">
        <v>144618791.69999999</v>
      </c>
      <c r="D8" s="161">
        <v>345713248.39999998</v>
      </c>
    </row>
    <row r="9" spans="1:5" s="41" customFormat="1" ht="14.5" customHeight="1">
      <c r="A9" s="594" t="s">
        <v>946</v>
      </c>
      <c r="B9" s="115" t="s">
        <v>285</v>
      </c>
      <c r="C9" s="126">
        <v>14321.8</v>
      </c>
      <c r="D9" s="126">
        <v>4977955.7</v>
      </c>
    </row>
    <row r="10" spans="1:5" s="41" customFormat="1" ht="29.5" customHeight="1">
      <c r="A10" s="594"/>
      <c r="B10" s="115" t="s">
        <v>286</v>
      </c>
      <c r="C10" s="126">
        <v>16742.599999999999</v>
      </c>
      <c r="D10" s="126">
        <v>5555551.5</v>
      </c>
    </row>
    <row r="11" spans="1:5" s="41" customFormat="1" ht="28.4" customHeight="1">
      <c r="A11" s="595" t="s">
        <v>338</v>
      </c>
      <c r="B11" s="595"/>
      <c r="C11" s="595"/>
      <c r="D11" s="595"/>
      <c r="E11" s="55"/>
    </row>
    <row r="12" spans="1:5" s="41" customFormat="1" ht="14.25" customHeight="1">
      <c r="A12" s="594" t="s">
        <v>339</v>
      </c>
      <c r="B12" s="115" t="s">
        <v>285</v>
      </c>
      <c r="C12" s="51" t="s">
        <v>1074</v>
      </c>
      <c r="D12" s="126">
        <v>1298385.2</v>
      </c>
    </row>
    <row r="13" spans="1:5" s="41" customFormat="1" ht="14.25" customHeight="1">
      <c r="A13" s="594"/>
      <c r="B13" s="52" t="s">
        <v>286</v>
      </c>
      <c r="C13" s="161" t="s">
        <v>1074</v>
      </c>
      <c r="D13" s="161">
        <v>1396819.5</v>
      </c>
    </row>
    <row r="14" spans="1:5" s="41" customFormat="1" ht="14.25" customHeight="1">
      <c r="A14" s="647" t="s">
        <v>340</v>
      </c>
      <c r="B14" s="115" t="s">
        <v>285</v>
      </c>
      <c r="C14" s="161" t="s">
        <v>1074</v>
      </c>
      <c r="D14" s="125">
        <v>1586945.4</v>
      </c>
    </row>
    <row r="15" spans="1:5" s="41" customFormat="1" ht="13.75" customHeight="1">
      <c r="A15" s="647"/>
      <c r="B15" s="115" t="s">
        <v>286</v>
      </c>
      <c r="C15" s="161" t="s">
        <v>1074</v>
      </c>
      <c r="D15" s="126">
        <v>1892668.5</v>
      </c>
    </row>
    <row r="16" spans="1:5" s="41" customFormat="1" ht="14.25" customHeight="1">
      <c r="A16" s="594" t="s">
        <v>341</v>
      </c>
      <c r="B16" s="115" t="s">
        <v>285</v>
      </c>
      <c r="C16" s="161" t="s">
        <v>1074</v>
      </c>
      <c r="D16" s="126">
        <v>1620191.9</v>
      </c>
    </row>
    <row r="17" spans="1:4" s="41" customFormat="1" ht="19.5" customHeight="1">
      <c r="A17" s="594"/>
      <c r="B17" s="115" t="s">
        <v>286</v>
      </c>
      <c r="C17" s="161" t="s">
        <v>1074</v>
      </c>
      <c r="D17" s="126">
        <v>1724707.4</v>
      </c>
    </row>
    <row r="18" spans="1:4">
      <c r="D18" s="41"/>
    </row>
  </sheetData>
  <mergeCells count="11">
    <mergeCell ref="A9:A10"/>
    <mergeCell ref="A11:D11"/>
    <mergeCell ref="A12:A13"/>
    <mergeCell ref="A14:A15"/>
    <mergeCell ref="A16:A17"/>
    <mergeCell ref="A7:A8"/>
    <mergeCell ref="A1:D1"/>
    <mergeCell ref="A2:D2"/>
    <mergeCell ref="A4:B6"/>
    <mergeCell ref="C4:C6"/>
    <mergeCell ref="D4:D6"/>
  </mergeCells>
  <hyperlinks>
    <hyperlink ref="H6" location="'Spis tablic'!A4" display="Powrót do spisu treści" xr:uid="{00000000-0004-0000-3000-000000000000}"/>
    <hyperlink ref="H6:I6" location="'SPIS TREŚCI'!A1" display="'SPIS TREŚCI'!A1" xr:uid="{00000000-0004-0000-3000-000001000000}"/>
    <hyperlink ref="D3" location="'Spis tablic  List of tables'!A69" display="'Spis tablic  List of tables'!A69" xr:uid="{00000000-0004-0000-3000-000002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Arkusz32"/>
  <dimension ref="A1:L41"/>
  <sheetViews>
    <sheetView zoomScaleNormal="100" workbookViewId="0">
      <pane ySplit="7" topLeftCell="A8" activePane="bottomLeft" state="frozen"/>
      <selection activeCell="V29" sqref="V29"/>
      <selection pane="bottomLeft" activeCell="A8" sqref="A8:A9"/>
    </sheetView>
  </sheetViews>
  <sheetFormatPr defaultColWidth="9.1796875" defaultRowHeight="14.5"/>
  <cols>
    <col min="1" max="1" width="19.453125" style="50" customWidth="1"/>
    <col min="2" max="2" width="5.453125" style="50" customWidth="1"/>
    <col min="3" max="3" width="14.26953125" style="50" customWidth="1"/>
    <col min="4" max="4" width="14.1796875" style="50" customWidth="1"/>
    <col min="5" max="10" width="14.7265625" style="50" customWidth="1"/>
    <col min="11" max="11" width="15.26953125" style="50" customWidth="1"/>
    <col min="12" max="12" width="10" style="50" customWidth="1"/>
    <col min="13" max="16384" width="9.1796875" style="50"/>
  </cols>
  <sheetData>
    <row r="1" spans="1:12" s="39" customFormat="1" ht="18.75" customHeight="1">
      <c r="A1" s="545" t="s">
        <v>1354</v>
      </c>
      <c r="B1" s="545"/>
      <c r="C1" s="545"/>
      <c r="D1" s="545"/>
      <c r="E1" s="545"/>
      <c r="F1" s="545"/>
      <c r="G1" s="545"/>
      <c r="H1" s="545"/>
      <c r="I1" s="545"/>
      <c r="J1" s="545"/>
    </row>
    <row r="2" spans="1:12" s="39" customFormat="1" ht="17.25" customHeight="1">
      <c r="A2" s="556" t="s">
        <v>1355</v>
      </c>
      <c r="B2" s="556"/>
      <c r="C2" s="556"/>
      <c r="D2" s="556"/>
      <c r="E2" s="556"/>
      <c r="F2" s="556"/>
      <c r="G2" s="556"/>
      <c r="H2" s="556"/>
      <c r="I2" s="556"/>
      <c r="J2" s="556"/>
    </row>
    <row r="3" spans="1:12" s="39" customFormat="1" ht="26.25" customHeight="1">
      <c r="A3" s="556"/>
      <c r="B3" s="556"/>
      <c r="C3" s="556"/>
      <c r="D3" s="556"/>
      <c r="I3" s="650" t="s">
        <v>5</v>
      </c>
      <c r="J3" s="650"/>
    </row>
    <row r="4" spans="1:12" s="39" customFormat="1" ht="26.5" customHeight="1">
      <c r="A4" s="584" t="s">
        <v>1191</v>
      </c>
      <c r="B4" s="548"/>
      <c r="C4" s="651" t="s">
        <v>342</v>
      </c>
      <c r="D4" s="651" t="s">
        <v>343</v>
      </c>
      <c r="E4" s="651"/>
      <c r="F4" s="651"/>
      <c r="G4" s="653"/>
      <c r="H4" s="648" t="s">
        <v>941</v>
      </c>
      <c r="I4" s="649"/>
      <c r="J4" s="649"/>
    </row>
    <row r="5" spans="1:12" s="41" customFormat="1" ht="32.25" customHeight="1">
      <c r="A5" s="635"/>
      <c r="B5" s="549"/>
      <c r="C5" s="651"/>
      <c r="D5" s="651" t="s">
        <v>344</v>
      </c>
      <c r="E5" s="651" t="s">
        <v>345</v>
      </c>
      <c r="F5" s="651" t="s">
        <v>346</v>
      </c>
      <c r="G5" s="651" t="s">
        <v>347</v>
      </c>
      <c r="H5" s="651" t="s">
        <v>348</v>
      </c>
      <c r="I5" s="653" t="s">
        <v>1141</v>
      </c>
      <c r="J5" s="648" t="s">
        <v>349</v>
      </c>
    </row>
    <row r="6" spans="1:12" s="41" customFormat="1" ht="55.4" customHeight="1">
      <c r="A6" s="635"/>
      <c r="B6" s="549"/>
      <c r="C6" s="652"/>
      <c r="D6" s="652"/>
      <c r="E6" s="652"/>
      <c r="F6" s="652"/>
      <c r="G6" s="652"/>
      <c r="H6" s="651"/>
      <c r="I6" s="653"/>
      <c r="J6" s="654"/>
    </row>
    <row r="7" spans="1:12" s="41" customFormat="1" ht="30.65" customHeight="1">
      <c r="A7" s="635"/>
      <c r="B7" s="549"/>
      <c r="C7" s="648" t="s">
        <v>350</v>
      </c>
      <c r="D7" s="649"/>
      <c r="E7" s="649"/>
      <c r="F7" s="649"/>
      <c r="G7" s="649"/>
      <c r="H7" s="649"/>
      <c r="I7" s="649"/>
      <c r="J7" s="649"/>
    </row>
    <row r="8" spans="1:12" s="41" customFormat="1" ht="14.25" customHeight="1">
      <c r="A8" s="593" t="s">
        <v>1393</v>
      </c>
      <c r="B8" s="115" t="s">
        <v>285</v>
      </c>
      <c r="C8" s="129">
        <v>10146528.51688</v>
      </c>
      <c r="D8" s="130">
        <v>5358010.0270800004</v>
      </c>
      <c r="E8" s="129">
        <v>294724.74680999998</v>
      </c>
      <c r="F8" s="130">
        <v>3992674.4013</v>
      </c>
      <c r="G8" s="129">
        <v>501119.34168999997</v>
      </c>
      <c r="H8" s="130">
        <v>4931038.8918000003</v>
      </c>
      <c r="I8" s="129">
        <v>1923458.9238</v>
      </c>
      <c r="J8" s="130">
        <v>2001222.05198</v>
      </c>
      <c r="K8" s="495"/>
      <c r="L8" s="460"/>
    </row>
    <row r="9" spans="1:12" s="41" customFormat="1" ht="14.25" customHeight="1">
      <c r="A9" s="593"/>
      <c r="B9" s="52" t="s">
        <v>286</v>
      </c>
      <c r="C9" s="162">
        <v>11006915.199999999</v>
      </c>
      <c r="D9" s="163">
        <v>6285927.4000000004</v>
      </c>
      <c r="E9" s="162">
        <v>346830.4</v>
      </c>
      <c r="F9" s="163">
        <v>3837395.1</v>
      </c>
      <c r="G9" s="162">
        <v>536762.30000000005</v>
      </c>
      <c r="H9" s="163">
        <v>5211874.4000000004</v>
      </c>
      <c r="I9" s="162">
        <v>2250450.7000000002</v>
      </c>
      <c r="J9" s="163">
        <v>2141770.2999999998</v>
      </c>
      <c r="K9" s="460"/>
    </row>
    <row r="10" spans="1:12" s="41" customFormat="1" ht="14.25" customHeight="1">
      <c r="A10" s="594" t="s">
        <v>49</v>
      </c>
      <c r="B10" s="115" t="s">
        <v>285</v>
      </c>
      <c r="C10" s="129">
        <v>941387.73525000003</v>
      </c>
      <c r="D10" s="130">
        <v>571944.02052000002</v>
      </c>
      <c r="E10" s="129">
        <v>5275.6</v>
      </c>
      <c r="F10" s="130">
        <v>292862.2</v>
      </c>
      <c r="G10" s="129">
        <v>71305.899999999994</v>
      </c>
      <c r="H10" s="130">
        <v>515789.7</v>
      </c>
      <c r="I10" s="129">
        <v>123235.7</v>
      </c>
      <c r="J10" s="130">
        <v>205523.20000000001</v>
      </c>
    </row>
    <row r="11" spans="1:12" s="41" customFormat="1" ht="14.25" customHeight="1">
      <c r="A11" s="594"/>
      <c r="B11" s="115" t="s">
        <v>286</v>
      </c>
      <c r="C11" s="129">
        <v>1109667.8</v>
      </c>
      <c r="D11" s="130">
        <v>737032.2</v>
      </c>
      <c r="E11" s="129">
        <v>12364.9</v>
      </c>
      <c r="F11" s="130">
        <v>256974.6</v>
      </c>
      <c r="G11" s="129">
        <v>103296.2</v>
      </c>
      <c r="H11" s="130">
        <v>572161.97138</v>
      </c>
      <c r="I11" s="129">
        <v>171292.5</v>
      </c>
      <c r="J11" s="130">
        <v>234576.8</v>
      </c>
      <c r="K11" s="460"/>
    </row>
    <row r="12" spans="1:12" s="41" customFormat="1" ht="14.25" customHeight="1">
      <c r="A12" s="594" t="s">
        <v>50</v>
      </c>
      <c r="B12" s="115" t="s">
        <v>285</v>
      </c>
      <c r="C12" s="129">
        <v>464500.94787000003</v>
      </c>
      <c r="D12" s="130">
        <v>263042.69321</v>
      </c>
      <c r="E12" s="129">
        <v>7011.4486999999999</v>
      </c>
      <c r="F12" s="130">
        <v>180613.46427</v>
      </c>
      <c r="G12" s="129">
        <v>13833.3</v>
      </c>
      <c r="H12" s="130">
        <v>166377.70000000001</v>
      </c>
      <c r="I12" s="129">
        <v>139968.20000000001</v>
      </c>
      <c r="J12" s="130">
        <v>88004.976250000007</v>
      </c>
      <c r="K12" s="460"/>
    </row>
    <row r="13" spans="1:12" s="41" customFormat="1" ht="14.25" customHeight="1">
      <c r="A13" s="594"/>
      <c r="B13" s="115" t="s">
        <v>286</v>
      </c>
      <c r="C13" s="129">
        <v>621925.19999999995</v>
      </c>
      <c r="D13" s="130">
        <v>340113.6</v>
      </c>
      <c r="E13" s="129">
        <v>27458.1</v>
      </c>
      <c r="F13" s="130">
        <v>220407.4</v>
      </c>
      <c r="G13" s="129">
        <v>33946.199999999997</v>
      </c>
      <c r="H13" s="130">
        <v>269649.3</v>
      </c>
      <c r="I13" s="129">
        <v>162723.29999999999</v>
      </c>
      <c r="J13" s="130">
        <v>119808</v>
      </c>
    </row>
    <row r="14" spans="1:12" s="41" customFormat="1" ht="14.25" customHeight="1">
      <c r="A14" s="594" t="s">
        <v>51</v>
      </c>
      <c r="B14" s="115" t="s">
        <v>285</v>
      </c>
      <c r="C14" s="129">
        <v>382673.8</v>
      </c>
      <c r="D14" s="130">
        <v>244268.76206000001</v>
      </c>
      <c r="E14" s="129">
        <v>11198.1</v>
      </c>
      <c r="F14" s="130">
        <v>120749.6</v>
      </c>
      <c r="G14" s="129">
        <v>6457.4</v>
      </c>
      <c r="H14" s="130">
        <v>177872.5</v>
      </c>
      <c r="I14" s="129">
        <v>55857.3</v>
      </c>
      <c r="J14" s="130">
        <v>92624.4</v>
      </c>
      <c r="K14" s="460"/>
    </row>
    <row r="15" spans="1:12" s="41" customFormat="1" ht="14.25" customHeight="1">
      <c r="A15" s="594"/>
      <c r="B15" s="115" t="s">
        <v>286</v>
      </c>
      <c r="C15" s="129">
        <v>450919.8</v>
      </c>
      <c r="D15" s="130">
        <v>285100.3</v>
      </c>
      <c r="E15" s="129">
        <v>15307.8</v>
      </c>
      <c r="F15" s="130">
        <v>141166.20000000001</v>
      </c>
      <c r="G15" s="129">
        <v>9345.4</v>
      </c>
      <c r="H15" s="130">
        <v>207246.7</v>
      </c>
      <c r="I15" s="129">
        <v>98447.7</v>
      </c>
      <c r="J15" s="130">
        <v>99808.3</v>
      </c>
    </row>
    <row r="16" spans="1:12" s="41" customFormat="1" ht="14.25" customHeight="1">
      <c r="A16" s="594" t="s">
        <v>52</v>
      </c>
      <c r="B16" s="115" t="s">
        <v>285</v>
      </c>
      <c r="C16" s="129">
        <v>390668.4</v>
      </c>
      <c r="D16" s="130">
        <v>185651.29337999999</v>
      </c>
      <c r="E16" s="129">
        <v>2979.7</v>
      </c>
      <c r="F16" s="130">
        <v>177795.5</v>
      </c>
      <c r="G16" s="129">
        <v>24241.96285</v>
      </c>
      <c r="H16" s="130">
        <v>168719.7</v>
      </c>
      <c r="I16" s="129">
        <v>136531.5</v>
      </c>
      <c r="J16" s="130">
        <v>60438.9</v>
      </c>
      <c r="K16" s="460"/>
    </row>
    <row r="17" spans="1:11" s="41" customFormat="1" ht="14.25" customHeight="1">
      <c r="A17" s="594"/>
      <c r="B17" s="115" t="s">
        <v>286</v>
      </c>
      <c r="C17" s="129">
        <v>329942.59999999998</v>
      </c>
      <c r="D17" s="130">
        <v>202636.7</v>
      </c>
      <c r="E17" s="129">
        <v>3282.6</v>
      </c>
      <c r="F17" s="130">
        <v>99741.5</v>
      </c>
      <c r="G17" s="129">
        <v>24281.9</v>
      </c>
      <c r="H17" s="130">
        <v>127441.60000000001</v>
      </c>
      <c r="I17" s="129">
        <v>106002</v>
      </c>
      <c r="J17" s="130">
        <v>70295.199999999997</v>
      </c>
    </row>
    <row r="18" spans="1:11" s="41" customFormat="1" ht="14.25" customHeight="1">
      <c r="A18" s="594" t="s">
        <v>53</v>
      </c>
      <c r="B18" s="115" t="s">
        <v>285</v>
      </c>
      <c r="C18" s="129">
        <v>538507.1</v>
      </c>
      <c r="D18" s="130">
        <v>313963.7</v>
      </c>
      <c r="E18" s="129">
        <v>31549.9</v>
      </c>
      <c r="F18" s="130">
        <v>172748.3</v>
      </c>
      <c r="G18" s="129">
        <v>20245.3</v>
      </c>
      <c r="H18" s="130">
        <v>245713.8</v>
      </c>
      <c r="I18" s="129">
        <v>124510.8</v>
      </c>
      <c r="J18" s="130">
        <v>102947</v>
      </c>
    </row>
    <row r="19" spans="1:11" s="41" customFormat="1" ht="14.25" customHeight="1">
      <c r="A19" s="594"/>
      <c r="B19" s="115" t="s">
        <v>286</v>
      </c>
      <c r="C19" s="129">
        <v>532656.6</v>
      </c>
      <c r="D19" s="130">
        <v>332056</v>
      </c>
      <c r="E19" s="129">
        <v>15125.7</v>
      </c>
      <c r="F19" s="130">
        <v>156537</v>
      </c>
      <c r="G19" s="129">
        <v>28937.9</v>
      </c>
      <c r="H19" s="130">
        <v>179027.7</v>
      </c>
      <c r="I19" s="129">
        <v>154822.70000000001</v>
      </c>
      <c r="J19" s="130">
        <v>120724.7</v>
      </c>
    </row>
    <row r="20" spans="1:11" s="41" customFormat="1" ht="14.25" customHeight="1">
      <c r="A20" s="594" t="s">
        <v>54</v>
      </c>
      <c r="B20" s="115" t="s">
        <v>285</v>
      </c>
      <c r="C20" s="129">
        <v>1209028.7</v>
      </c>
      <c r="D20" s="130">
        <v>531707.19999999995</v>
      </c>
      <c r="E20" s="129">
        <v>49151.1</v>
      </c>
      <c r="F20" s="130">
        <v>514998.2</v>
      </c>
      <c r="G20" s="129">
        <v>113172.2</v>
      </c>
      <c r="H20" s="130">
        <v>672042.9</v>
      </c>
      <c r="I20" s="129">
        <v>22504.3</v>
      </c>
      <c r="J20" s="130">
        <v>378237.1</v>
      </c>
    </row>
    <row r="21" spans="1:11" s="41" customFormat="1" ht="14.25" customHeight="1">
      <c r="A21" s="594"/>
      <c r="B21" s="115" t="s">
        <v>286</v>
      </c>
      <c r="C21" s="129">
        <v>842803.5</v>
      </c>
      <c r="D21" s="130">
        <v>552599</v>
      </c>
      <c r="E21" s="129">
        <v>27666.400000000001</v>
      </c>
      <c r="F21" s="130">
        <v>216443.9</v>
      </c>
      <c r="G21" s="129">
        <v>46094.3</v>
      </c>
      <c r="H21" s="130">
        <v>476456.7</v>
      </c>
      <c r="I21" s="129">
        <v>31121.9</v>
      </c>
      <c r="J21" s="130">
        <v>259079.7</v>
      </c>
    </row>
    <row r="22" spans="1:11" s="41" customFormat="1" ht="14.25" customHeight="1">
      <c r="A22" s="594" t="s">
        <v>55</v>
      </c>
      <c r="B22" s="115" t="s">
        <v>285</v>
      </c>
      <c r="C22" s="129">
        <v>1325701.8</v>
      </c>
      <c r="D22" s="130">
        <v>629445.9</v>
      </c>
      <c r="E22" s="129">
        <v>70423.3</v>
      </c>
      <c r="F22" s="130">
        <v>553107.69999999995</v>
      </c>
      <c r="G22" s="129">
        <v>72724.899999999994</v>
      </c>
      <c r="H22" s="130">
        <v>507142.99877000001</v>
      </c>
      <c r="I22" s="129">
        <v>385261.7</v>
      </c>
      <c r="J22" s="130">
        <v>249694.4</v>
      </c>
      <c r="K22" s="460"/>
    </row>
    <row r="23" spans="1:11" s="41" customFormat="1" ht="14.25" customHeight="1">
      <c r="A23" s="594"/>
      <c r="B23" s="115" t="s">
        <v>286</v>
      </c>
      <c r="C23" s="129">
        <v>1758828.7</v>
      </c>
      <c r="D23" s="130">
        <v>802640</v>
      </c>
      <c r="E23" s="129">
        <v>78001</v>
      </c>
      <c r="F23" s="130">
        <v>766177.9</v>
      </c>
      <c r="G23" s="129">
        <v>112009.8</v>
      </c>
      <c r="H23" s="130">
        <v>781987.4</v>
      </c>
      <c r="I23" s="129">
        <v>420418.1</v>
      </c>
      <c r="J23" s="130">
        <v>315150.59999999998</v>
      </c>
    </row>
    <row r="24" spans="1:11" s="41" customFormat="1" ht="14.25" customHeight="1">
      <c r="A24" s="594" t="s">
        <v>56</v>
      </c>
      <c r="B24" s="115" t="s">
        <v>285</v>
      </c>
      <c r="C24" s="129">
        <v>311604.96758</v>
      </c>
      <c r="D24" s="130">
        <v>173629.5</v>
      </c>
      <c r="E24" s="129">
        <v>8483.6</v>
      </c>
      <c r="F24" s="130">
        <v>119331.1</v>
      </c>
      <c r="G24" s="129">
        <v>10160.799999999999</v>
      </c>
      <c r="H24" s="130">
        <v>206756.4</v>
      </c>
      <c r="I24" s="129">
        <v>36241.5</v>
      </c>
      <c r="J24" s="130">
        <v>47425.7</v>
      </c>
      <c r="K24" s="460"/>
    </row>
    <row r="25" spans="1:11" s="41" customFormat="1" ht="14.25" customHeight="1">
      <c r="A25" s="594"/>
      <c r="B25" s="115" t="s">
        <v>286</v>
      </c>
      <c r="C25" s="129">
        <v>358343.7</v>
      </c>
      <c r="D25" s="130">
        <v>232665.4</v>
      </c>
      <c r="E25" s="129">
        <v>5805</v>
      </c>
      <c r="F25" s="130">
        <v>109099.4</v>
      </c>
      <c r="G25" s="129">
        <v>10773.9</v>
      </c>
      <c r="H25" s="130">
        <v>237795.3</v>
      </c>
      <c r="I25" s="129">
        <v>41524.400000000001</v>
      </c>
      <c r="J25" s="130">
        <v>48528.3</v>
      </c>
    </row>
    <row r="26" spans="1:11" s="41" customFormat="1" ht="14.25" customHeight="1">
      <c r="A26" s="594" t="s">
        <v>57</v>
      </c>
      <c r="B26" s="115" t="s">
        <v>285</v>
      </c>
      <c r="C26" s="129">
        <v>558703.19999999995</v>
      </c>
      <c r="D26" s="130">
        <v>447173.2</v>
      </c>
      <c r="E26" s="129">
        <v>17639.3</v>
      </c>
      <c r="F26" s="130">
        <v>87614</v>
      </c>
      <c r="G26" s="129">
        <v>6276.7</v>
      </c>
      <c r="H26" s="130">
        <v>276467.8</v>
      </c>
      <c r="I26" s="129">
        <v>169264.7</v>
      </c>
      <c r="J26" s="130">
        <v>62084.7</v>
      </c>
    </row>
    <row r="27" spans="1:11" s="41" customFormat="1" ht="14.25" customHeight="1">
      <c r="A27" s="594"/>
      <c r="B27" s="115" t="s">
        <v>286</v>
      </c>
      <c r="C27" s="129">
        <v>629582.19999999995</v>
      </c>
      <c r="D27" s="130">
        <v>471928.7</v>
      </c>
      <c r="E27" s="129">
        <v>22860.9</v>
      </c>
      <c r="F27" s="130">
        <v>126549.5</v>
      </c>
      <c r="G27" s="129">
        <v>8243.1</v>
      </c>
      <c r="H27" s="130">
        <v>311002.5</v>
      </c>
      <c r="I27" s="129">
        <v>188618.1</v>
      </c>
      <c r="J27" s="130">
        <v>67520.100000000006</v>
      </c>
    </row>
    <row r="28" spans="1:11" s="41" customFormat="1" ht="14.25" customHeight="1">
      <c r="A28" s="594" t="s">
        <v>58</v>
      </c>
      <c r="B28" s="115" t="s">
        <v>285</v>
      </c>
      <c r="C28" s="129">
        <v>246571.7</v>
      </c>
      <c r="D28" s="130">
        <v>135906.79999999999</v>
      </c>
      <c r="E28" s="129">
        <v>8970.4</v>
      </c>
      <c r="F28" s="130">
        <v>84038.8</v>
      </c>
      <c r="G28" s="129">
        <v>17655.7</v>
      </c>
      <c r="H28" s="130">
        <v>102745.60000000001</v>
      </c>
      <c r="I28" s="129">
        <v>79827.8</v>
      </c>
      <c r="J28" s="130">
        <v>32696.9</v>
      </c>
    </row>
    <row r="29" spans="1:11" s="41" customFormat="1" ht="14.25" customHeight="1">
      <c r="A29" s="594"/>
      <c r="B29" s="115" t="s">
        <v>286</v>
      </c>
      <c r="C29" s="129">
        <v>278039.09999999998</v>
      </c>
      <c r="D29" s="130">
        <v>141476</v>
      </c>
      <c r="E29" s="129">
        <v>13541.1</v>
      </c>
      <c r="F29" s="130">
        <v>101096.4</v>
      </c>
      <c r="G29" s="129">
        <v>21925.599999999999</v>
      </c>
      <c r="H29" s="130">
        <v>101923.9</v>
      </c>
      <c r="I29" s="129">
        <v>100958.6</v>
      </c>
      <c r="J29" s="130">
        <v>39328.400000000001</v>
      </c>
    </row>
    <row r="30" spans="1:11" s="41" customFormat="1" ht="14.25" customHeight="1">
      <c r="A30" s="594" t="s">
        <v>59</v>
      </c>
      <c r="B30" s="115" t="s">
        <v>285</v>
      </c>
      <c r="C30" s="129">
        <v>546421.4</v>
      </c>
      <c r="D30" s="130">
        <v>291870.7</v>
      </c>
      <c r="E30" s="129">
        <v>14019.1</v>
      </c>
      <c r="F30" s="130">
        <v>234317.1</v>
      </c>
      <c r="G30" s="129">
        <v>6214.5</v>
      </c>
      <c r="H30" s="130">
        <v>273793.09999999998</v>
      </c>
      <c r="I30" s="129">
        <v>55740.2</v>
      </c>
      <c r="J30" s="130">
        <v>142598.9</v>
      </c>
    </row>
    <row r="31" spans="1:11" s="41" customFormat="1" ht="14.25" customHeight="1">
      <c r="A31" s="594"/>
      <c r="B31" s="115" t="s">
        <v>286</v>
      </c>
      <c r="C31" s="129">
        <v>565490.5</v>
      </c>
      <c r="D31" s="130">
        <v>332191.7</v>
      </c>
      <c r="E31" s="129">
        <v>19037.900000000001</v>
      </c>
      <c r="F31" s="130">
        <v>206528.1</v>
      </c>
      <c r="G31" s="129">
        <v>7732.7</v>
      </c>
      <c r="H31" s="130">
        <v>243321.4</v>
      </c>
      <c r="I31" s="129">
        <v>65123.8</v>
      </c>
      <c r="J31" s="130">
        <v>164713.79999999999</v>
      </c>
    </row>
    <row r="32" spans="1:11" s="41" customFormat="1" ht="14.25" customHeight="1">
      <c r="A32" s="594" t="s">
        <v>60</v>
      </c>
      <c r="B32" s="115" t="s">
        <v>285</v>
      </c>
      <c r="C32" s="129">
        <v>1437413.2</v>
      </c>
      <c r="D32" s="130">
        <v>439686.40000000002</v>
      </c>
      <c r="E32" s="129">
        <v>11847.4</v>
      </c>
      <c r="F32" s="130">
        <v>879053.9</v>
      </c>
      <c r="G32" s="129">
        <v>106825.5</v>
      </c>
      <c r="H32" s="130">
        <v>693590.3</v>
      </c>
      <c r="I32" s="129">
        <v>284510.59999999998</v>
      </c>
      <c r="J32" s="130">
        <v>236398.3</v>
      </c>
    </row>
    <row r="33" spans="1:11" s="41" customFormat="1" ht="14.25" customHeight="1">
      <c r="A33" s="594"/>
      <c r="B33" s="115" t="s">
        <v>286</v>
      </c>
      <c r="C33" s="129">
        <v>1438988.2</v>
      </c>
      <c r="D33" s="130">
        <v>450287.6</v>
      </c>
      <c r="E33" s="129">
        <v>14173.7</v>
      </c>
      <c r="F33" s="130">
        <v>880426</v>
      </c>
      <c r="G33" s="129">
        <v>94100.9</v>
      </c>
      <c r="H33" s="130">
        <v>631559.5</v>
      </c>
      <c r="I33" s="129">
        <v>364672.1</v>
      </c>
      <c r="J33" s="130">
        <v>242265.3</v>
      </c>
    </row>
    <row r="34" spans="1:11" s="41" customFormat="1" ht="14.25" customHeight="1">
      <c r="A34" s="594" t="s">
        <v>61</v>
      </c>
      <c r="B34" s="115" t="s">
        <v>285</v>
      </c>
      <c r="C34" s="129">
        <v>219362.4</v>
      </c>
      <c r="D34" s="130">
        <v>163385.20000000001</v>
      </c>
      <c r="E34" s="129">
        <v>12642.7</v>
      </c>
      <c r="F34" s="130">
        <v>39917.199999999997</v>
      </c>
      <c r="G34" s="129">
        <v>3416.8</v>
      </c>
      <c r="H34" s="130">
        <v>91572.1</v>
      </c>
      <c r="I34" s="129">
        <v>9552.5</v>
      </c>
      <c r="J34" s="130">
        <v>48458.7</v>
      </c>
    </row>
    <row r="35" spans="1:11" s="41" customFormat="1" ht="14.25" customHeight="1">
      <c r="A35" s="594"/>
      <c r="B35" s="115" t="s">
        <v>286</v>
      </c>
      <c r="C35" s="129">
        <v>272546.90000000002</v>
      </c>
      <c r="D35" s="130">
        <v>212528.1</v>
      </c>
      <c r="E35" s="129">
        <v>17783</v>
      </c>
      <c r="F35" s="130">
        <v>38029.4</v>
      </c>
      <c r="G35" s="129">
        <v>4206.3999999999996</v>
      </c>
      <c r="H35" s="130">
        <v>140749.4</v>
      </c>
      <c r="I35" s="129">
        <v>9915.9</v>
      </c>
      <c r="J35" s="130">
        <v>54023.7</v>
      </c>
    </row>
    <row r="36" spans="1:11" s="41" customFormat="1" ht="14.25" customHeight="1">
      <c r="A36" s="594" t="s">
        <v>62</v>
      </c>
      <c r="B36" s="115" t="s">
        <v>285</v>
      </c>
      <c r="C36" s="129">
        <v>414005</v>
      </c>
      <c r="D36" s="130">
        <v>195643.2</v>
      </c>
      <c r="E36" s="129">
        <v>2924.1</v>
      </c>
      <c r="F36" s="130">
        <v>211160.8</v>
      </c>
      <c r="G36" s="129">
        <v>4276.9572800000005</v>
      </c>
      <c r="H36" s="130">
        <v>297487.7</v>
      </c>
      <c r="I36" s="129">
        <v>55606.3</v>
      </c>
      <c r="J36" s="130">
        <v>22775.8</v>
      </c>
      <c r="K36" s="460"/>
    </row>
    <row r="37" spans="1:11" s="41" customFormat="1" ht="14.25" customHeight="1">
      <c r="A37" s="594"/>
      <c r="B37" s="115" t="s">
        <v>286</v>
      </c>
      <c r="C37" s="129">
        <v>361653.5</v>
      </c>
      <c r="D37" s="130">
        <v>223703.5</v>
      </c>
      <c r="E37" s="129">
        <v>8299.9</v>
      </c>
      <c r="F37" s="130">
        <v>125177.9</v>
      </c>
      <c r="G37" s="129">
        <v>4472.1000000000004</v>
      </c>
      <c r="H37" s="130">
        <v>216542.3</v>
      </c>
      <c r="I37" s="129">
        <v>63289.1</v>
      </c>
      <c r="J37" s="130">
        <v>30193.1</v>
      </c>
    </row>
    <row r="38" spans="1:11" s="41" customFormat="1" ht="14.25" customHeight="1">
      <c r="A38" s="594" t="s">
        <v>63</v>
      </c>
      <c r="B38" s="115" t="s">
        <v>285</v>
      </c>
      <c r="C38" s="129">
        <v>724810.4</v>
      </c>
      <c r="D38" s="130">
        <v>547076.6</v>
      </c>
      <c r="E38" s="129">
        <v>11623.1</v>
      </c>
      <c r="F38" s="130">
        <v>149941.20000000001</v>
      </c>
      <c r="G38" s="129">
        <v>16169.5</v>
      </c>
      <c r="H38" s="130">
        <v>306974.7</v>
      </c>
      <c r="I38" s="129">
        <v>175625.2</v>
      </c>
      <c r="J38" s="130">
        <v>144756.20000000001</v>
      </c>
    </row>
    <row r="39" spans="1:11" s="41" customFormat="1" ht="14.25" customHeight="1">
      <c r="A39" s="594"/>
      <c r="B39" s="115" t="s">
        <v>286</v>
      </c>
      <c r="C39" s="129">
        <v>915466.7</v>
      </c>
      <c r="D39" s="130">
        <v>709631.8</v>
      </c>
      <c r="E39" s="129">
        <v>17215.5</v>
      </c>
      <c r="F39" s="130">
        <v>169321.8</v>
      </c>
      <c r="G39" s="129">
        <v>19297.7</v>
      </c>
      <c r="H39" s="130">
        <v>430170.7</v>
      </c>
      <c r="I39" s="129">
        <v>191706</v>
      </c>
      <c r="J39" s="130">
        <v>175203.20000000001</v>
      </c>
    </row>
    <row r="40" spans="1:11" s="41" customFormat="1" ht="14.25" customHeight="1">
      <c r="A40" s="594" t="s">
        <v>64</v>
      </c>
      <c r="B40" s="115" t="s">
        <v>285</v>
      </c>
      <c r="C40" s="129">
        <v>435167.8</v>
      </c>
      <c r="D40" s="130">
        <v>223614.5</v>
      </c>
      <c r="E40" s="129">
        <v>28986.1</v>
      </c>
      <c r="F40" s="130">
        <v>174425.4</v>
      </c>
      <c r="G40" s="129">
        <v>8141.8</v>
      </c>
      <c r="H40" s="130">
        <v>227991.8</v>
      </c>
      <c r="I40" s="129">
        <v>69220.7</v>
      </c>
      <c r="J40" s="130">
        <v>86556.800000000003</v>
      </c>
    </row>
    <row r="41" spans="1:11" s="41" customFormat="1" ht="14.25" customHeight="1">
      <c r="A41" s="594"/>
      <c r="B41" s="115" t="s">
        <v>286</v>
      </c>
      <c r="C41" s="129">
        <v>540060.19999999995</v>
      </c>
      <c r="D41" s="130">
        <v>259336.7</v>
      </c>
      <c r="E41" s="129">
        <v>48907</v>
      </c>
      <c r="F41" s="130">
        <v>223718.3</v>
      </c>
      <c r="G41" s="129">
        <v>8098.2</v>
      </c>
      <c r="H41" s="130">
        <v>284838</v>
      </c>
      <c r="I41" s="129">
        <v>79814.399999999994</v>
      </c>
      <c r="J41" s="130">
        <v>100551.1</v>
      </c>
    </row>
  </sheetData>
  <mergeCells count="33">
    <mergeCell ref="A32:A33"/>
    <mergeCell ref="A34:A35"/>
    <mergeCell ref="A36:A37"/>
    <mergeCell ref="A38:A39"/>
    <mergeCell ref="A40:A41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C7:J7"/>
    <mergeCell ref="A1:J1"/>
    <mergeCell ref="A2:J2"/>
    <mergeCell ref="A3:D3"/>
    <mergeCell ref="I3:J3"/>
    <mergeCell ref="A4:B7"/>
    <mergeCell ref="C4:C6"/>
    <mergeCell ref="D4:G4"/>
    <mergeCell ref="H4:J4"/>
    <mergeCell ref="D5:D6"/>
    <mergeCell ref="E5:E6"/>
    <mergeCell ref="F5:F6"/>
    <mergeCell ref="G5:G6"/>
    <mergeCell ref="H5:H6"/>
    <mergeCell ref="I5:I6"/>
    <mergeCell ref="J5:J6"/>
  </mergeCells>
  <hyperlinks>
    <hyperlink ref="I3:J3" location="'Spis tablic  List of tables'!A71" display="'Spis tablic  List of tables'!A71" xr:uid="{00000000-0004-0000-3100-000000000000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110"/>
  <sheetViews>
    <sheetView zoomScaleNormal="100" workbookViewId="0">
      <pane xSplit="1" ySplit="6" topLeftCell="B7" activePane="bottomRight" state="frozen"/>
      <selection activeCell="V29" sqref="V29"/>
      <selection pane="topRight" activeCell="V29" sqref="V29"/>
      <selection pane="bottomLeft" activeCell="V29" sqref="V29"/>
      <selection pane="bottomRight" activeCell="G22" sqref="G22"/>
    </sheetView>
  </sheetViews>
  <sheetFormatPr defaultColWidth="9.1796875" defaultRowHeight="10"/>
  <cols>
    <col min="1" max="1" width="20.54296875" style="41" customWidth="1"/>
    <col min="2" max="2" width="11.1796875" style="41" customWidth="1"/>
    <col min="3" max="6" width="15.54296875" style="41" customWidth="1"/>
    <col min="7" max="16384" width="9.1796875" style="41"/>
  </cols>
  <sheetData>
    <row r="1" spans="1:7" s="39" customFormat="1" ht="13">
      <c r="A1" s="545" t="s">
        <v>1348</v>
      </c>
      <c r="B1" s="545"/>
      <c r="C1" s="545"/>
      <c r="D1" s="545"/>
      <c r="E1" s="545"/>
    </row>
    <row r="2" spans="1:7" s="39" customFormat="1" ht="12.5">
      <c r="A2" s="556" t="s">
        <v>993</v>
      </c>
      <c r="B2" s="556"/>
      <c r="C2" s="556"/>
      <c r="D2" s="556"/>
      <c r="E2" s="556"/>
    </row>
    <row r="3" spans="1:7" s="39" customFormat="1" ht="28.4" customHeight="1">
      <c r="A3" s="262"/>
      <c r="B3" s="69"/>
      <c r="C3" s="69"/>
      <c r="D3" s="536" t="s">
        <v>5</v>
      </c>
      <c r="E3" s="536"/>
    </row>
    <row r="4" spans="1:7" ht="36.75" customHeight="1">
      <c r="A4" s="584" t="s">
        <v>1191</v>
      </c>
      <c r="B4" s="548"/>
      <c r="C4" s="539" t="s">
        <v>994</v>
      </c>
      <c r="D4" s="543" t="s">
        <v>995</v>
      </c>
      <c r="E4" s="544"/>
    </row>
    <row r="5" spans="1:7" ht="78" customHeight="1">
      <c r="A5" s="635"/>
      <c r="B5" s="549"/>
      <c r="C5" s="551"/>
      <c r="D5" s="259" t="s">
        <v>80</v>
      </c>
      <c r="E5" s="263" t="s">
        <v>40</v>
      </c>
      <c r="G5" s="48"/>
    </row>
    <row r="6" spans="1:7" ht="30" customHeight="1">
      <c r="A6" s="635" t="s">
        <v>996</v>
      </c>
      <c r="B6" s="635"/>
      <c r="C6" s="635"/>
      <c r="D6" s="635"/>
      <c r="E6" s="635"/>
    </row>
    <row r="7" spans="1:7" ht="14.25" customHeight="1">
      <c r="A7" s="590" t="s">
        <v>298</v>
      </c>
      <c r="B7" s="115" t="s">
        <v>285</v>
      </c>
      <c r="C7" s="483">
        <v>1042</v>
      </c>
      <c r="D7" s="483">
        <v>89654</v>
      </c>
      <c r="E7" s="464">
        <v>39124</v>
      </c>
    </row>
    <row r="8" spans="1:7" ht="14.25" customHeight="1">
      <c r="A8" s="590"/>
      <c r="B8" s="52" t="s">
        <v>286</v>
      </c>
      <c r="C8" s="461">
        <v>1059</v>
      </c>
      <c r="D8" s="461">
        <v>97453</v>
      </c>
      <c r="E8" s="462">
        <v>42812</v>
      </c>
    </row>
    <row r="9" spans="1:7" ht="14.25" customHeight="1">
      <c r="A9" s="595" t="s">
        <v>49</v>
      </c>
      <c r="B9" s="115" t="s">
        <v>285</v>
      </c>
      <c r="C9" s="463">
        <v>85</v>
      </c>
      <c r="D9" s="463">
        <v>5875</v>
      </c>
      <c r="E9" s="464">
        <v>2688</v>
      </c>
    </row>
    <row r="10" spans="1:7" ht="14.25" customHeight="1">
      <c r="A10" s="595"/>
      <c r="B10" s="115" t="s">
        <v>286</v>
      </c>
      <c r="C10" s="463">
        <v>78</v>
      </c>
      <c r="D10" s="463">
        <v>5931</v>
      </c>
      <c r="E10" s="464">
        <v>2752</v>
      </c>
    </row>
    <row r="11" spans="1:7" ht="14.25" customHeight="1">
      <c r="A11" s="595" t="s">
        <v>50</v>
      </c>
      <c r="B11" s="115" t="s">
        <v>285</v>
      </c>
      <c r="C11" s="463">
        <v>63</v>
      </c>
      <c r="D11" s="463">
        <v>5422</v>
      </c>
      <c r="E11" s="464">
        <v>2404</v>
      </c>
    </row>
    <row r="12" spans="1:7" ht="14.25" customHeight="1">
      <c r="A12" s="595"/>
      <c r="B12" s="115" t="s">
        <v>286</v>
      </c>
      <c r="C12" s="463">
        <v>63</v>
      </c>
      <c r="D12" s="463">
        <v>6047</v>
      </c>
      <c r="E12" s="464">
        <v>2645</v>
      </c>
    </row>
    <row r="13" spans="1:7" ht="14.25" customHeight="1">
      <c r="A13" s="595" t="s">
        <v>51</v>
      </c>
      <c r="B13" s="115" t="s">
        <v>285</v>
      </c>
      <c r="C13" s="463">
        <v>52</v>
      </c>
      <c r="D13" s="463">
        <v>3281</v>
      </c>
      <c r="E13" s="464">
        <v>1555</v>
      </c>
    </row>
    <row r="14" spans="1:7" ht="14.25" customHeight="1">
      <c r="A14" s="595"/>
      <c r="B14" s="115" t="s">
        <v>286</v>
      </c>
      <c r="C14" s="463">
        <v>56</v>
      </c>
      <c r="D14" s="463">
        <v>3887</v>
      </c>
      <c r="E14" s="464">
        <v>1786</v>
      </c>
    </row>
    <row r="15" spans="1:7" ht="14.25" customHeight="1">
      <c r="A15" s="595" t="s">
        <v>52</v>
      </c>
      <c r="B15" s="115" t="s">
        <v>285</v>
      </c>
      <c r="C15" s="463">
        <v>21</v>
      </c>
      <c r="D15" s="463">
        <v>2214</v>
      </c>
      <c r="E15" s="464">
        <v>943</v>
      </c>
    </row>
    <row r="16" spans="1:7" ht="14.25" customHeight="1">
      <c r="A16" s="595"/>
      <c r="B16" s="115" t="s">
        <v>286</v>
      </c>
      <c r="C16" s="463">
        <v>23</v>
      </c>
      <c r="D16" s="463">
        <v>2331</v>
      </c>
      <c r="E16" s="464">
        <v>1000</v>
      </c>
    </row>
    <row r="17" spans="1:5" ht="14.25" customHeight="1">
      <c r="A17" s="595" t="s">
        <v>53</v>
      </c>
      <c r="B17" s="115" t="s">
        <v>285</v>
      </c>
      <c r="C17" s="463">
        <v>43</v>
      </c>
      <c r="D17" s="463">
        <v>3741</v>
      </c>
      <c r="E17" s="464">
        <v>1587</v>
      </c>
    </row>
    <row r="18" spans="1:5" ht="14.25" customHeight="1">
      <c r="A18" s="595"/>
      <c r="B18" s="115" t="s">
        <v>286</v>
      </c>
      <c r="C18" s="463">
        <v>42</v>
      </c>
      <c r="D18" s="463">
        <v>4063</v>
      </c>
      <c r="E18" s="464">
        <v>1746</v>
      </c>
    </row>
    <row r="19" spans="1:5" ht="14.25" customHeight="1">
      <c r="A19" s="595" t="s">
        <v>54</v>
      </c>
      <c r="B19" s="115" t="s">
        <v>285</v>
      </c>
      <c r="C19" s="463">
        <v>55</v>
      </c>
      <c r="D19" s="463">
        <v>5608</v>
      </c>
      <c r="E19" s="464">
        <v>2325</v>
      </c>
    </row>
    <row r="20" spans="1:5" ht="14.25" customHeight="1">
      <c r="A20" s="595"/>
      <c r="B20" s="115" t="s">
        <v>286</v>
      </c>
      <c r="C20" s="463">
        <v>60</v>
      </c>
      <c r="D20" s="463">
        <v>6115</v>
      </c>
      <c r="E20" s="464">
        <v>2567</v>
      </c>
    </row>
    <row r="21" spans="1:5" ht="14.25" customHeight="1">
      <c r="A21" s="595" t="s">
        <v>55</v>
      </c>
      <c r="B21" s="115" t="s">
        <v>285</v>
      </c>
      <c r="C21" s="463">
        <v>176</v>
      </c>
      <c r="D21" s="463">
        <v>15657</v>
      </c>
      <c r="E21" s="464">
        <v>6673</v>
      </c>
    </row>
    <row r="22" spans="1:5" ht="14.25" customHeight="1">
      <c r="A22" s="595"/>
      <c r="B22" s="115" t="s">
        <v>286</v>
      </c>
      <c r="C22" s="463">
        <v>175</v>
      </c>
      <c r="D22" s="463">
        <v>17018</v>
      </c>
      <c r="E22" s="464">
        <v>7304</v>
      </c>
    </row>
    <row r="23" spans="1:5" ht="14.25" customHeight="1">
      <c r="A23" s="595" t="s">
        <v>56</v>
      </c>
      <c r="B23" s="115" t="s">
        <v>285</v>
      </c>
      <c r="C23" s="463">
        <v>23</v>
      </c>
      <c r="D23" s="463">
        <v>1581</v>
      </c>
      <c r="E23" s="464">
        <v>679</v>
      </c>
    </row>
    <row r="24" spans="1:5" ht="14.25" customHeight="1">
      <c r="A24" s="595"/>
      <c r="B24" s="115" t="s">
        <v>286</v>
      </c>
      <c r="C24" s="463">
        <v>24</v>
      </c>
      <c r="D24" s="463">
        <v>1784</v>
      </c>
      <c r="E24" s="464">
        <v>783</v>
      </c>
    </row>
    <row r="25" spans="1:5" ht="14.25" customHeight="1">
      <c r="A25" s="595" t="s">
        <v>57</v>
      </c>
      <c r="B25" s="115" t="s">
        <v>285</v>
      </c>
      <c r="C25" s="463">
        <v>39</v>
      </c>
      <c r="D25" s="463">
        <v>3127</v>
      </c>
      <c r="E25" s="464">
        <v>1494</v>
      </c>
    </row>
    <row r="26" spans="1:5" ht="14.25" customHeight="1">
      <c r="A26" s="595"/>
      <c r="B26" s="115" t="s">
        <v>286</v>
      </c>
      <c r="C26" s="463">
        <v>35</v>
      </c>
      <c r="D26" s="463">
        <v>3124</v>
      </c>
      <c r="E26" s="464">
        <v>1481</v>
      </c>
    </row>
    <row r="27" spans="1:5" ht="14.25" customHeight="1">
      <c r="A27" s="595" t="s">
        <v>58</v>
      </c>
      <c r="B27" s="115" t="s">
        <v>285</v>
      </c>
      <c r="C27" s="463">
        <v>37</v>
      </c>
      <c r="D27" s="463">
        <v>3171</v>
      </c>
      <c r="E27" s="464">
        <v>1388</v>
      </c>
    </row>
    <row r="28" spans="1:5" ht="14.25" customHeight="1">
      <c r="A28" s="595"/>
      <c r="B28" s="115" t="s">
        <v>286</v>
      </c>
      <c r="C28" s="463">
        <v>40</v>
      </c>
      <c r="D28" s="463">
        <v>3704</v>
      </c>
      <c r="E28" s="464">
        <v>1615</v>
      </c>
    </row>
    <row r="29" spans="1:5" ht="14.25" customHeight="1">
      <c r="A29" s="595" t="s">
        <v>59</v>
      </c>
      <c r="B29" s="115" t="s">
        <v>285</v>
      </c>
      <c r="C29" s="463">
        <v>89</v>
      </c>
      <c r="D29" s="463">
        <v>8239</v>
      </c>
      <c r="E29" s="464">
        <v>3660</v>
      </c>
    </row>
    <row r="30" spans="1:5" ht="14.25" customHeight="1">
      <c r="A30" s="595"/>
      <c r="B30" s="115" t="s">
        <v>286</v>
      </c>
      <c r="C30" s="463">
        <v>93</v>
      </c>
      <c r="D30" s="463">
        <v>8885</v>
      </c>
      <c r="E30" s="464">
        <v>4019</v>
      </c>
    </row>
    <row r="31" spans="1:5" ht="14.25" customHeight="1">
      <c r="A31" s="595" t="s">
        <v>60</v>
      </c>
      <c r="B31" s="115" t="s">
        <v>285</v>
      </c>
      <c r="C31" s="463">
        <v>129</v>
      </c>
      <c r="D31" s="463">
        <v>11336</v>
      </c>
      <c r="E31" s="464">
        <v>4839</v>
      </c>
    </row>
    <row r="32" spans="1:5" ht="14.25" customHeight="1">
      <c r="A32" s="595"/>
      <c r="B32" s="115" t="s">
        <v>286</v>
      </c>
      <c r="C32" s="463">
        <v>140</v>
      </c>
      <c r="D32" s="463">
        <v>12622</v>
      </c>
      <c r="E32" s="464">
        <v>5439</v>
      </c>
    </row>
    <row r="33" spans="1:10" ht="14.25" customHeight="1">
      <c r="A33" s="595" t="s">
        <v>61</v>
      </c>
      <c r="B33" s="115" t="s">
        <v>285</v>
      </c>
      <c r="C33" s="463">
        <v>8</v>
      </c>
      <c r="D33" s="463">
        <v>364</v>
      </c>
      <c r="E33" s="464">
        <v>127</v>
      </c>
    </row>
    <row r="34" spans="1:10" ht="14.25" customHeight="1">
      <c r="A34" s="595"/>
      <c r="B34" s="115" t="s">
        <v>286</v>
      </c>
      <c r="C34" s="463">
        <v>11</v>
      </c>
      <c r="D34" s="463">
        <v>580</v>
      </c>
      <c r="E34" s="464">
        <v>228</v>
      </c>
    </row>
    <row r="35" spans="1:10" ht="14.25" customHeight="1">
      <c r="A35" s="595" t="s">
        <v>62</v>
      </c>
      <c r="B35" s="115" t="s">
        <v>285</v>
      </c>
      <c r="C35" s="463">
        <v>56</v>
      </c>
      <c r="D35" s="463">
        <v>4570</v>
      </c>
      <c r="E35" s="464">
        <v>2019</v>
      </c>
    </row>
    <row r="36" spans="1:10" ht="14.25" customHeight="1">
      <c r="A36" s="595"/>
      <c r="B36" s="115" t="s">
        <v>286</v>
      </c>
      <c r="C36" s="463">
        <v>52</v>
      </c>
      <c r="D36" s="463">
        <v>4597</v>
      </c>
      <c r="E36" s="464">
        <v>1984</v>
      </c>
    </row>
    <row r="37" spans="1:10" ht="14.25" customHeight="1">
      <c r="A37" s="595" t="s">
        <v>63</v>
      </c>
      <c r="B37" s="115" t="s">
        <v>285</v>
      </c>
      <c r="C37" s="463">
        <v>113</v>
      </c>
      <c r="D37" s="463">
        <v>10147</v>
      </c>
      <c r="E37" s="464">
        <v>4471</v>
      </c>
    </row>
    <row r="38" spans="1:10" ht="14.25" customHeight="1">
      <c r="A38" s="595"/>
      <c r="B38" s="115" t="s">
        <v>286</v>
      </c>
      <c r="C38" s="463">
        <v>113</v>
      </c>
      <c r="D38" s="463">
        <v>10939</v>
      </c>
      <c r="E38" s="464">
        <v>4887</v>
      </c>
    </row>
    <row r="39" spans="1:10" ht="14.25" customHeight="1">
      <c r="A39" s="595" t="s">
        <v>64</v>
      </c>
      <c r="B39" s="115" t="s">
        <v>285</v>
      </c>
      <c r="C39" s="463">
        <v>53</v>
      </c>
      <c r="D39" s="463">
        <v>5321</v>
      </c>
      <c r="E39" s="464">
        <v>2272</v>
      </c>
    </row>
    <row r="40" spans="1:10" ht="14.25" customHeight="1">
      <c r="A40" s="595"/>
      <c r="B40" s="115" t="s">
        <v>286</v>
      </c>
      <c r="C40" s="463">
        <v>54</v>
      </c>
      <c r="D40" s="463">
        <v>5826</v>
      </c>
      <c r="E40" s="464">
        <v>2576</v>
      </c>
    </row>
    <row r="41" spans="1:10" ht="30" customHeight="1">
      <c r="A41" s="635" t="s">
        <v>997</v>
      </c>
      <c r="B41" s="635"/>
      <c r="C41" s="635"/>
      <c r="D41" s="635"/>
      <c r="E41" s="635"/>
      <c r="G41" s="55"/>
      <c r="H41" s="55"/>
      <c r="I41" s="55"/>
      <c r="J41" s="55"/>
    </row>
    <row r="42" spans="1:10" ht="14.25" customHeight="1">
      <c r="A42" s="590" t="s">
        <v>298</v>
      </c>
      <c r="B42" s="115" t="s">
        <v>285</v>
      </c>
      <c r="C42" s="484">
        <v>926</v>
      </c>
      <c r="D42" s="463">
        <v>79197</v>
      </c>
      <c r="E42" s="464">
        <v>35465</v>
      </c>
      <c r="G42" s="264"/>
      <c r="H42" s="264"/>
      <c r="I42" s="264"/>
      <c r="J42" s="55"/>
    </row>
    <row r="43" spans="1:10" ht="14.25" customHeight="1">
      <c r="A43" s="590"/>
      <c r="B43" s="52" t="s">
        <v>286</v>
      </c>
      <c r="C43" s="461">
        <v>955</v>
      </c>
      <c r="D43" s="461">
        <v>88170</v>
      </c>
      <c r="E43" s="462">
        <v>39517</v>
      </c>
      <c r="G43" s="264"/>
      <c r="H43" s="264"/>
      <c r="I43" s="264"/>
      <c r="J43" s="55"/>
    </row>
    <row r="44" spans="1:10" ht="14.25" customHeight="1">
      <c r="A44" s="595" t="s">
        <v>49</v>
      </c>
      <c r="B44" s="115" t="s">
        <v>285</v>
      </c>
      <c r="C44" s="463">
        <v>75</v>
      </c>
      <c r="D44" s="463">
        <v>5325</v>
      </c>
      <c r="E44" s="464">
        <v>2444</v>
      </c>
      <c r="G44" s="265"/>
      <c r="H44" s="265"/>
      <c r="I44" s="265"/>
      <c r="J44" s="55"/>
    </row>
    <row r="45" spans="1:10" ht="14.25" customHeight="1">
      <c r="A45" s="595"/>
      <c r="B45" s="115" t="s">
        <v>286</v>
      </c>
      <c r="C45" s="463">
        <v>69</v>
      </c>
      <c r="D45" s="463">
        <v>5459</v>
      </c>
      <c r="E45" s="464">
        <v>2549</v>
      </c>
      <c r="G45" s="265"/>
      <c r="H45" s="265"/>
      <c r="I45" s="265"/>
      <c r="J45" s="55"/>
    </row>
    <row r="46" spans="1:10" ht="14.25" customHeight="1">
      <c r="A46" s="595" t="s">
        <v>50</v>
      </c>
      <c r="B46" s="115" t="s">
        <v>285</v>
      </c>
      <c r="C46" s="463">
        <v>58</v>
      </c>
      <c r="D46" s="463">
        <v>5160</v>
      </c>
      <c r="E46" s="464">
        <v>2292</v>
      </c>
      <c r="G46" s="265"/>
      <c r="H46" s="265"/>
      <c r="I46" s="265"/>
      <c r="J46" s="55"/>
    </row>
    <row r="47" spans="1:10" ht="14.25" customHeight="1">
      <c r="A47" s="595"/>
      <c r="B47" s="115" t="s">
        <v>286</v>
      </c>
      <c r="C47" s="463">
        <v>59</v>
      </c>
      <c r="D47" s="463">
        <v>5789</v>
      </c>
      <c r="E47" s="464">
        <v>2543</v>
      </c>
      <c r="G47" s="265"/>
      <c r="H47" s="265"/>
      <c r="I47" s="265"/>
      <c r="J47" s="55"/>
    </row>
    <row r="48" spans="1:10" ht="14.25" customHeight="1">
      <c r="A48" s="595" t="s">
        <v>51</v>
      </c>
      <c r="B48" s="115" t="s">
        <v>285</v>
      </c>
      <c r="C48" s="463">
        <v>50</v>
      </c>
      <c r="D48" s="463">
        <v>3075</v>
      </c>
      <c r="E48" s="464">
        <v>1424</v>
      </c>
      <c r="G48" s="265"/>
      <c r="H48" s="265"/>
      <c r="I48" s="265"/>
      <c r="J48" s="55"/>
    </row>
    <row r="49" spans="1:10" ht="14.25" customHeight="1">
      <c r="A49" s="595"/>
      <c r="B49" s="115" t="s">
        <v>286</v>
      </c>
      <c r="C49" s="463">
        <v>54</v>
      </c>
      <c r="D49" s="463">
        <v>3705</v>
      </c>
      <c r="E49" s="464">
        <v>1683</v>
      </c>
      <c r="G49" s="265"/>
      <c r="H49" s="265"/>
      <c r="I49" s="265"/>
      <c r="J49" s="55"/>
    </row>
    <row r="50" spans="1:10" ht="14.25" customHeight="1">
      <c r="A50" s="595" t="s">
        <v>52</v>
      </c>
      <c r="B50" s="115" t="s">
        <v>285</v>
      </c>
      <c r="C50" s="463">
        <v>20</v>
      </c>
      <c r="D50" s="463">
        <v>2134</v>
      </c>
      <c r="E50" s="464">
        <v>935</v>
      </c>
      <c r="G50" s="266"/>
      <c r="H50" s="266"/>
      <c r="I50" s="266"/>
      <c r="J50" s="55"/>
    </row>
    <row r="51" spans="1:10" ht="14.25" customHeight="1">
      <c r="A51" s="595"/>
      <c r="B51" s="115" t="s">
        <v>286</v>
      </c>
      <c r="C51" s="463">
        <v>22</v>
      </c>
      <c r="D51" s="463">
        <v>2254</v>
      </c>
      <c r="E51" s="464">
        <v>995</v>
      </c>
      <c r="G51" s="265"/>
      <c r="H51" s="265"/>
      <c r="I51" s="265"/>
      <c r="J51" s="55"/>
    </row>
    <row r="52" spans="1:10" ht="14.25" customHeight="1">
      <c r="A52" s="595" t="s">
        <v>53</v>
      </c>
      <c r="B52" s="115" t="s">
        <v>285</v>
      </c>
      <c r="C52" s="463">
        <v>36</v>
      </c>
      <c r="D52" s="463">
        <v>3040</v>
      </c>
      <c r="E52" s="464">
        <v>1366</v>
      </c>
      <c r="G52" s="265"/>
      <c r="H52" s="265"/>
      <c r="I52" s="265"/>
      <c r="J52" s="55"/>
    </row>
    <row r="53" spans="1:10" ht="14.25" customHeight="1">
      <c r="A53" s="595"/>
      <c r="B53" s="115" t="s">
        <v>286</v>
      </c>
      <c r="C53" s="463">
        <v>35</v>
      </c>
      <c r="D53" s="463">
        <v>3390</v>
      </c>
      <c r="E53" s="464">
        <v>1531</v>
      </c>
      <c r="G53" s="265"/>
      <c r="H53" s="265"/>
      <c r="I53" s="265"/>
      <c r="J53" s="55"/>
    </row>
    <row r="54" spans="1:10" ht="14.25" customHeight="1">
      <c r="A54" s="595" t="s">
        <v>54</v>
      </c>
      <c r="B54" s="115" t="s">
        <v>285</v>
      </c>
      <c r="C54" s="463">
        <v>48</v>
      </c>
      <c r="D54" s="463">
        <v>4809</v>
      </c>
      <c r="E54" s="464">
        <v>2142</v>
      </c>
      <c r="G54" s="265"/>
      <c r="H54" s="265"/>
      <c r="I54" s="265"/>
      <c r="J54" s="55"/>
    </row>
    <row r="55" spans="1:10" ht="14.25" customHeight="1">
      <c r="A55" s="595"/>
      <c r="B55" s="115" t="s">
        <v>286</v>
      </c>
      <c r="C55" s="463">
        <v>52</v>
      </c>
      <c r="D55" s="463">
        <v>5310</v>
      </c>
      <c r="E55" s="464">
        <v>2349</v>
      </c>
      <c r="G55" s="265"/>
      <c r="H55" s="265"/>
      <c r="I55" s="265"/>
      <c r="J55" s="55"/>
    </row>
    <row r="56" spans="1:10" ht="14.25" customHeight="1">
      <c r="A56" s="595" t="s">
        <v>55</v>
      </c>
      <c r="B56" s="115" t="s">
        <v>285</v>
      </c>
      <c r="C56" s="463">
        <v>159</v>
      </c>
      <c r="D56" s="463">
        <v>14256</v>
      </c>
      <c r="E56" s="464">
        <v>6321</v>
      </c>
      <c r="G56" s="266"/>
      <c r="H56" s="266"/>
      <c r="I56" s="266"/>
      <c r="J56" s="55"/>
    </row>
    <row r="57" spans="1:10" ht="14.25" customHeight="1">
      <c r="A57" s="595"/>
      <c r="B57" s="115" t="s">
        <v>286</v>
      </c>
      <c r="C57" s="463">
        <v>163</v>
      </c>
      <c r="D57" s="463">
        <v>15860</v>
      </c>
      <c r="E57" s="464">
        <v>7038</v>
      </c>
      <c r="F57" s="55"/>
      <c r="G57" s="266"/>
      <c r="H57" s="266"/>
      <c r="I57" s="266"/>
      <c r="J57" s="55"/>
    </row>
    <row r="58" spans="1:10" ht="14.25" customHeight="1">
      <c r="A58" s="595" t="s">
        <v>56</v>
      </c>
      <c r="B58" s="115" t="s">
        <v>285</v>
      </c>
      <c r="C58" s="463">
        <v>20</v>
      </c>
      <c r="D58" s="463">
        <v>1355</v>
      </c>
      <c r="E58" s="464">
        <v>590</v>
      </c>
      <c r="F58" s="55"/>
      <c r="G58" s="265"/>
      <c r="H58" s="265"/>
      <c r="I58" s="265"/>
      <c r="J58" s="55"/>
    </row>
    <row r="59" spans="1:10" ht="14.25" customHeight="1">
      <c r="A59" s="595"/>
      <c r="B59" s="115" t="s">
        <v>286</v>
      </c>
      <c r="C59" s="463">
        <v>22</v>
      </c>
      <c r="D59" s="463">
        <v>1606</v>
      </c>
      <c r="E59" s="464">
        <v>704</v>
      </c>
      <c r="F59" s="55"/>
      <c r="G59" s="265"/>
      <c r="H59" s="265"/>
      <c r="I59" s="265"/>
      <c r="J59" s="55"/>
    </row>
    <row r="60" spans="1:10" ht="14.25" customHeight="1">
      <c r="A60" s="595" t="s">
        <v>57</v>
      </c>
      <c r="B60" s="115" t="s">
        <v>285</v>
      </c>
      <c r="C60" s="463">
        <v>33</v>
      </c>
      <c r="D60" s="463">
        <v>2501</v>
      </c>
      <c r="E60" s="464">
        <v>1137</v>
      </c>
      <c r="G60" s="266"/>
      <c r="H60" s="266"/>
      <c r="I60" s="266"/>
      <c r="J60" s="55"/>
    </row>
    <row r="61" spans="1:10" ht="14.25" customHeight="1">
      <c r="A61" s="595"/>
      <c r="B61" s="115" t="s">
        <v>286</v>
      </c>
      <c r="C61" s="463">
        <v>29</v>
      </c>
      <c r="D61" s="463">
        <v>2590</v>
      </c>
      <c r="E61" s="464">
        <v>1192</v>
      </c>
      <c r="G61" s="266"/>
      <c r="H61" s="266"/>
      <c r="I61" s="266"/>
      <c r="J61" s="55"/>
    </row>
    <row r="62" spans="1:10" ht="14.25" customHeight="1">
      <c r="A62" s="595" t="s">
        <v>58</v>
      </c>
      <c r="B62" s="115" t="s">
        <v>285</v>
      </c>
      <c r="C62" s="463">
        <v>33</v>
      </c>
      <c r="D62" s="463">
        <v>2983</v>
      </c>
      <c r="E62" s="464">
        <v>1321</v>
      </c>
      <c r="G62" s="266"/>
      <c r="H62" s="266"/>
      <c r="I62" s="267"/>
      <c r="J62" s="55"/>
    </row>
    <row r="63" spans="1:10" ht="14.25" customHeight="1">
      <c r="A63" s="595"/>
      <c r="B63" s="115" t="s">
        <v>286</v>
      </c>
      <c r="C63" s="463">
        <v>36</v>
      </c>
      <c r="D63" s="463">
        <v>3531</v>
      </c>
      <c r="E63" s="464">
        <v>1548</v>
      </c>
      <c r="G63" s="265"/>
      <c r="H63" s="265"/>
      <c r="I63" s="265"/>
      <c r="J63" s="55"/>
    </row>
    <row r="64" spans="1:10" ht="14.25" customHeight="1">
      <c r="A64" s="595" t="s">
        <v>59</v>
      </c>
      <c r="B64" s="115" t="s">
        <v>285</v>
      </c>
      <c r="C64" s="463">
        <v>81</v>
      </c>
      <c r="D64" s="463">
        <v>6996</v>
      </c>
      <c r="E64" s="464">
        <v>3198</v>
      </c>
      <c r="G64" s="266"/>
      <c r="H64" s="266"/>
      <c r="I64" s="266"/>
      <c r="J64" s="55"/>
    </row>
    <row r="65" spans="1:10" ht="14.25" customHeight="1">
      <c r="A65" s="595"/>
      <c r="B65" s="115" t="s">
        <v>286</v>
      </c>
      <c r="C65" s="463">
        <v>85</v>
      </c>
      <c r="D65" s="463">
        <v>7641</v>
      </c>
      <c r="E65" s="464">
        <v>3487</v>
      </c>
      <c r="G65" s="266"/>
      <c r="H65" s="266"/>
      <c r="I65" s="266"/>
      <c r="J65" s="55"/>
    </row>
    <row r="66" spans="1:10" ht="14.25" customHeight="1">
      <c r="A66" s="595" t="s">
        <v>60</v>
      </c>
      <c r="B66" s="115" t="s">
        <v>285</v>
      </c>
      <c r="C66" s="463">
        <v>113</v>
      </c>
      <c r="D66" s="463">
        <v>9763</v>
      </c>
      <c r="E66" s="464">
        <v>4287</v>
      </c>
      <c r="G66" s="266"/>
      <c r="H66" s="266"/>
      <c r="I66" s="266"/>
      <c r="J66" s="55"/>
    </row>
    <row r="67" spans="1:10" ht="14.25" customHeight="1">
      <c r="A67" s="595"/>
      <c r="B67" s="115" t="s">
        <v>286</v>
      </c>
      <c r="C67" s="463">
        <v>125</v>
      </c>
      <c r="D67" s="463">
        <v>11213</v>
      </c>
      <c r="E67" s="464">
        <v>4947</v>
      </c>
      <c r="F67" s="55"/>
      <c r="G67" s="266"/>
      <c r="H67" s="266"/>
      <c r="I67" s="266"/>
      <c r="J67" s="55"/>
    </row>
    <row r="68" spans="1:10" ht="14.25" customHeight="1">
      <c r="A68" s="595" t="s">
        <v>61</v>
      </c>
      <c r="B68" s="115" t="s">
        <v>285</v>
      </c>
      <c r="C68" s="463">
        <v>6</v>
      </c>
      <c r="D68" s="463">
        <v>273</v>
      </c>
      <c r="E68" s="464">
        <v>109</v>
      </c>
      <c r="F68" s="55"/>
      <c r="G68" s="265"/>
      <c r="H68" s="265"/>
      <c r="I68" s="265"/>
      <c r="J68" s="55"/>
    </row>
    <row r="69" spans="1:10" ht="14.25" customHeight="1">
      <c r="A69" s="595"/>
      <c r="B69" s="115" t="s">
        <v>286</v>
      </c>
      <c r="C69" s="463">
        <v>9</v>
      </c>
      <c r="D69" s="463">
        <v>453</v>
      </c>
      <c r="E69" s="464">
        <v>206</v>
      </c>
      <c r="F69" s="55"/>
      <c r="G69" s="265"/>
      <c r="H69" s="265"/>
      <c r="I69" s="265"/>
      <c r="J69" s="55"/>
    </row>
    <row r="70" spans="1:10" ht="14.25" customHeight="1">
      <c r="A70" s="595" t="s">
        <v>62</v>
      </c>
      <c r="B70" s="115" t="s">
        <v>285</v>
      </c>
      <c r="C70" s="463">
        <v>50</v>
      </c>
      <c r="D70" s="463">
        <v>4031</v>
      </c>
      <c r="E70" s="464">
        <v>1830</v>
      </c>
      <c r="F70" s="55"/>
      <c r="G70" s="265"/>
      <c r="H70" s="265"/>
      <c r="I70" s="265"/>
      <c r="J70" s="55"/>
    </row>
    <row r="71" spans="1:10" ht="14.25" customHeight="1">
      <c r="A71" s="595"/>
      <c r="B71" s="115" t="s">
        <v>286</v>
      </c>
      <c r="C71" s="463">
        <v>46</v>
      </c>
      <c r="D71" s="463">
        <v>4120</v>
      </c>
      <c r="E71" s="464">
        <v>1827</v>
      </c>
      <c r="G71" s="265"/>
      <c r="H71" s="265"/>
      <c r="I71" s="265"/>
      <c r="J71" s="55"/>
    </row>
    <row r="72" spans="1:10" ht="14.25" customHeight="1">
      <c r="A72" s="595" t="s">
        <v>63</v>
      </c>
      <c r="B72" s="115" t="s">
        <v>285</v>
      </c>
      <c r="C72" s="463">
        <v>100</v>
      </c>
      <c r="D72" s="463">
        <v>8794</v>
      </c>
      <c r="E72" s="464">
        <v>3929</v>
      </c>
      <c r="G72" s="266"/>
      <c r="H72" s="266"/>
      <c r="I72" s="266"/>
      <c r="J72" s="55"/>
    </row>
    <row r="73" spans="1:10" ht="14.25" customHeight="1">
      <c r="A73" s="595"/>
      <c r="B73" s="115" t="s">
        <v>286</v>
      </c>
      <c r="C73" s="463">
        <v>103</v>
      </c>
      <c r="D73" s="463">
        <v>9931</v>
      </c>
      <c r="E73" s="464">
        <v>4463</v>
      </c>
      <c r="G73" s="266"/>
      <c r="H73" s="266"/>
      <c r="I73" s="266"/>
      <c r="J73" s="55"/>
    </row>
    <row r="74" spans="1:10" ht="14.25" customHeight="1">
      <c r="A74" s="595" t="s">
        <v>64</v>
      </c>
      <c r="B74" s="115" t="s">
        <v>285</v>
      </c>
      <c r="C74" s="463">
        <v>44</v>
      </c>
      <c r="D74" s="463">
        <v>4702</v>
      </c>
      <c r="E74" s="464">
        <v>2140</v>
      </c>
      <c r="G74" s="265"/>
      <c r="H74" s="265"/>
      <c r="I74" s="265"/>
      <c r="J74" s="55"/>
    </row>
    <row r="75" spans="1:10" ht="14.25" customHeight="1">
      <c r="A75" s="595"/>
      <c r="B75" s="115" t="s">
        <v>286</v>
      </c>
      <c r="C75" s="463">
        <v>46</v>
      </c>
      <c r="D75" s="463">
        <v>5318</v>
      </c>
      <c r="E75" s="464">
        <v>2455</v>
      </c>
      <c r="G75" s="265"/>
      <c r="H75" s="265"/>
      <c r="I75" s="265"/>
      <c r="J75" s="55"/>
    </row>
    <row r="76" spans="1:10" ht="30" customHeight="1">
      <c r="A76" s="655" t="s">
        <v>998</v>
      </c>
      <c r="B76" s="655"/>
      <c r="C76" s="655"/>
      <c r="D76" s="655"/>
      <c r="E76" s="655"/>
    </row>
    <row r="77" spans="1:10" ht="14.25" customHeight="1">
      <c r="A77" s="590" t="s">
        <v>361</v>
      </c>
      <c r="B77" s="115" t="s">
        <v>285</v>
      </c>
      <c r="C77" s="268">
        <v>116</v>
      </c>
      <c r="D77" s="268">
        <v>10457</v>
      </c>
      <c r="E77" s="269">
        <v>3659</v>
      </c>
    </row>
    <row r="78" spans="1:10" ht="14.25" customHeight="1">
      <c r="A78" s="590"/>
      <c r="B78" s="52" t="s">
        <v>286</v>
      </c>
      <c r="C78" s="270">
        <v>104</v>
      </c>
      <c r="D78" s="270">
        <v>9283</v>
      </c>
      <c r="E78" s="271">
        <v>3295</v>
      </c>
    </row>
    <row r="79" spans="1:10" ht="14.25" customHeight="1">
      <c r="A79" s="595" t="s">
        <v>49</v>
      </c>
      <c r="B79" s="115" t="s">
        <v>285</v>
      </c>
      <c r="C79" s="170">
        <v>10</v>
      </c>
      <c r="D79" s="170">
        <v>550</v>
      </c>
      <c r="E79" s="171">
        <v>244</v>
      </c>
    </row>
    <row r="80" spans="1:10" ht="14.25" customHeight="1">
      <c r="A80" s="595"/>
      <c r="B80" s="115" t="s">
        <v>286</v>
      </c>
      <c r="C80" s="170">
        <v>9</v>
      </c>
      <c r="D80" s="170">
        <v>472</v>
      </c>
      <c r="E80" s="171">
        <v>203</v>
      </c>
    </row>
    <row r="81" spans="1:5" ht="14.25" customHeight="1">
      <c r="A81" s="595" t="s">
        <v>50</v>
      </c>
      <c r="B81" s="115" t="s">
        <v>285</v>
      </c>
      <c r="C81" s="170">
        <v>5</v>
      </c>
      <c r="D81" s="170">
        <v>262</v>
      </c>
      <c r="E81" s="171">
        <v>112</v>
      </c>
    </row>
    <row r="82" spans="1:5" ht="14.25" customHeight="1">
      <c r="A82" s="595"/>
      <c r="B82" s="115" t="s">
        <v>286</v>
      </c>
      <c r="C82" s="170">
        <v>4</v>
      </c>
      <c r="D82" s="170">
        <v>258</v>
      </c>
      <c r="E82" s="171">
        <v>102</v>
      </c>
    </row>
    <row r="83" spans="1:5" ht="14.25" customHeight="1">
      <c r="A83" s="595" t="s">
        <v>51</v>
      </c>
      <c r="B83" s="115" t="s">
        <v>285</v>
      </c>
      <c r="C83" s="170">
        <v>2</v>
      </c>
      <c r="D83" s="170">
        <v>206</v>
      </c>
      <c r="E83" s="171">
        <v>131</v>
      </c>
    </row>
    <row r="84" spans="1:5" ht="14.25" customHeight="1">
      <c r="A84" s="595"/>
      <c r="B84" s="115" t="s">
        <v>286</v>
      </c>
      <c r="C84" s="170">
        <v>2</v>
      </c>
      <c r="D84" s="170">
        <v>182</v>
      </c>
      <c r="E84" s="171">
        <v>103</v>
      </c>
    </row>
    <row r="85" spans="1:5" ht="14.25" customHeight="1">
      <c r="A85" s="595" t="s">
        <v>52</v>
      </c>
      <c r="B85" s="115" t="s">
        <v>285</v>
      </c>
      <c r="C85" s="268">
        <v>1</v>
      </c>
      <c r="D85" s="268">
        <v>80</v>
      </c>
      <c r="E85" s="269">
        <v>8</v>
      </c>
    </row>
    <row r="86" spans="1:5" ht="14.25" customHeight="1">
      <c r="A86" s="595"/>
      <c r="B86" s="115" t="s">
        <v>286</v>
      </c>
      <c r="C86" s="170">
        <v>1</v>
      </c>
      <c r="D86" s="170">
        <v>77</v>
      </c>
      <c r="E86" s="171">
        <v>5</v>
      </c>
    </row>
    <row r="87" spans="1:5" ht="14.25" customHeight="1">
      <c r="A87" s="595" t="s">
        <v>53</v>
      </c>
      <c r="B87" s="115" t="s">
        <v>285</v>
      </c>
      <c r="C87" s="170">
        <v>7</v>
      </c>
      <c r="D87" s="170">
        <v>701</v>
      </c>
      <c r="E87" s="171">
        <v>221</v>
      </c>
    </row>
    <row r="88" spans="1:5" ht="14.25" customHeight="1">
      <c r="A88" s="595"/>
      <c r="B88" s="115" t="s">
        <v>286</v>
      </c>
      <c r="C88" s="170">
        <v>7</v>
      </c>
      <c r="D88" s="170">
        <v>673</v>
      </c>
      <c r="E88" s="171">
        <v>215</v>
      </c>
    </row>
    <row r="89" spans="1:5" ht="14.25" customHeight="1">
      <c r="A89" s="595" t="s">
        <v>54</v>
      </c>
      <c r="B89" s="115" t="s">
        <v>285</v>
      </c>
      <c r="C89" s="170">
        <v>7</v>
      </c>
      <c r="D89" s="170">
        <v>799</v>
      </c>
      <c r="E89" s="171">
        <v>183</v>
      </c>
    </row>
    <row r="90" spans="1:5" ht="14.25" customHeight="1">
      <c r="A90" s="595"/>
      <c r="B90" s="115" t="s">
        <v>286</v>
      </c>
      <c r="C90" s="170">
        <v>8</v>
      </c>
      <c r="D90" s="170">
        <v>805</v>
      </c>
      <c r="E90" s="171">
        <v>218</v>
      </c>
    </row>
    <row r="91" spans="1:5" ht="14.25" customHeight="1">
      <c r="A91" s="595" t="s">
        <v>55</v>
      </c>
      <c r="B91" s="115" t="s">
        <v>285</v>
      </c>
      <c r="C91" s="268">
        <v>17</v>
      </c>
      <c r="D91" s="268">
        <v>1401</v>
      </c>
      <c r="E91" s="269">
        <v>352</v>
      </c>
    </row>
    <row r="92" spans="1:5" ht="14.25" customHeight="1">
      <c r="A92" s="595"/>
      <c r="B92" s="115" t="s">
        <v>286</v>
      </c>
      <c r="C92" s="268">
        <v>12</v>
      </c>
      <c r="D92" s="268">
        <v>1158</v>
      </c>
      <c r="E92" s="269">
        <v>266</v>
      </c>
    </row>
    <row r="93" spans="1:5" ht="14.25" customHeight="1">
      <c r="A93" s="595" t="s">
        <v>56</v>
      </c>
      <c r="B93" s="115" t="s">
        <v>285</v>
      </c>
      <c r="C93" s="170">
        <v>3</v>
      </c>
      <c r="D93" s="170">
        <v>226</v>
      </c>
      <c r="E93" s="171">
        <v>89</v>
      </c>
    </row>
    <row r="94" spans="1:5" ht="14.25" customHeight="1">
      <c r="A94" s="595"/>
      <c r="B94" s="115" t="s">
        <v>286</v>
      </c>
      <c r="C94" s="170">
        <v>2</v>
      </c>
      <c r="D94" s="170">
        <v>178</v>
      </c>
      <c r="E94" s="171">
        <v>79</v>
      </c>
    </row>
    <row r="95" spans="1:5" ht="14.25" customHeight="1">
      <c r="A95" s="595" t="s">
        <v>57</v>
      </c>
      <c r="B95" s="115" t="s">
        <v>285</v>
      </c>
      <c r="C95" s="268">
        <v>6</v>
      </c>
      <c r="D95" s="268">
        <v>626</v>
      </c>
      <c r="E95" s="269">
        <v>357</v>
      </c>
    </row>
    <row r="96" spans="1:5" ht="14.25" customHeight="1">
      <c r="A96" s="595"/>
      <c r="B96" s="115" t="s">
        <v>286</v>
      </c>
      <c r="C96" s="268">
        <v>6</v>
      </c>
      <c r="D96" s="268">
        <v>534</v>
      </c>
      <c r="E96" s="269">
        <v>289</v>
      </c>
    </row>
    <row r="97" spans="1:5" ht="14.25" customHeight="1">
      <c r="A97" s="595" t="s">
        <v>58</v>
      </c>
      <c r="B97" s="115" t="s">
        <v>285</v>
      </c>
      <c r="C97" s="268">
        <v>4</v>
      </c>
      <c r="D97" s="268">
        <v>188</v>
      </c>
      <c r="E97" s="269">
        <v>67</v>
      </c>
    </row>
    <row r="98" spans="1:5" ht="14.25" customHeight="1">
      <c r="A98" s="595"/>
      <c r="B98" s="115" t="s">
        <v>286</v>
      </c>
      <c r="C98" s="170">
        <v>4</v>
      </c>
      <c r="D98" s="170">
        <v>173</v>
      </c>
      <c r="E98" s="171">
        <v>67</v>
      </c>
    </row>
    <row r="99" spans="1:5" ht="14.25" customHeight="1">
      <c r="A99" s="595" t="s">
        <v>59</v>
      </c>
      <c r="B99" s="115" t="s">
        <v>285</v>
      </c>
      <c r="C99" s="268">
        <v>8</v>
      </c>
      <c r="D99" s="268">
        <v>1243</v>
      </c>
      <c r="E99" s="269">
        <v>462</v>
      </c>
    </row>
    <row r="100" spans="1:5" ht="14.25" customHeight="1">
      <c r="A100" s="595"/>
      <c r="B100" s="115" t="s">
        <v>286</v>
      </c>
      <c r="C100" s="268">
        <v>8</v>
      </c>
      <c r="D100" s="268">
        <v>1244</v>
      </c>
      <c r="E100" s="269">
        <v>532</v>
      </c>
    </row>
    <row r="101" spans="1:5" ht="14.25" customHeight="1">
      <c r="A101" s="595" t="s">
        <v>60</v>
      </c>
      <c r="B101" s="115" t="s">
        <v>285</v>
      </c>
      <c r="C101" s="268">
        <v>16</v>
      </c>
      <c r="D101" s="268">
        <v>1573</v>
      </c>
      <c r="E101" s="269">
        <v>552</v>
      </c>
    </row>
    <row r="102" spans="1:5" ht="14.25" customHeight="1">
      <c r="A102" s="595"/>
      <c r="B102" s="115" t="s">
        <v>286</v>
      </c>
      <c r="C102" s="268">
        <v>15</v>
      </c>
      <c r="D102" s="268">
        <v>1409</v>
      </c>
      <c r="E102" s="269">
        <v>492</v>
      </c>
    </row>
    <row r="103" spans="1:5" ht="14.25" customHeight="1">
      <c r="A103" s="595" t="s">
        <v>61</v>
      </c>
      <c r="B103" s="115" t="s">
        <v>285</v>
      </c>
      <c r="C103" s="170">
        <v>2</v>
      </c>
      <c r="D103" s="170">
        <v>91</v>
      </c>
      <c r="E103" s="171">
        <v>18</v>
      </c>
    </row>
    <row r="104" spans="1:5" ht="14.25" customHeight="1">
      <c r="A104" s="595"/>
      <c r="B104" s="115" t="s">
        <v>286</v>
      </c>
      <c r="C104" s="170">
        <v>2</v>
      </c>
      <c r="D104" s="170">
        <v>127</v>
      </c>
      <c r="E104" s="171">
        <v>22</v>
      </c>
    </row>
    <row r="105" spans="1:5" ht="14.25" customHeight="1">
      <c r="A105" s="595" t="s">
        <v>62</v>
      </c>
      <c r="B105" s="115" t="s">
        <v>285</v>
      </c>
      <c r="C105" s="170">
        <v>6</v>
      </c>
      <c r="D105" s="170">
        <v>539</v>
      </c>
      <c r="E105" s="171">
        <v>189</v>
      </c>
    </row>
    <row r="106" spans="1:5" ht="14.25" customHeight="1">
      <c r="A106" s="595"/>
      <c r="B106" s="115" t="s">
        <v>286</v>
      </c>
      <c r="C106" s="170">
        <v>6</v>
      </c>
      <c r="D106" s="170">
        <v>477</v>
      </c>
      <c r="E106" s="171">
        <v>157</v>
      </c>
    </row>
    <row r="107" spans="1:5" ht="14.25" customHeight="1">
      <c r="A107" s="595" t="s">
        <v>63</v>
      </c>
      <c r="B107" s="115" t="s">
        <v>285</v>
      </c>
      <c r="C107" s="268">
        <v>13</v>
      </c>
      <c r="D107" s="268">
        <v>1353</v>
      </c>
      <c r="E107" s="269">
        <v>542</v>
      </c>
    </row>
    <row r="108" spans="1:5" ht="14.25" customHeight="1">
      <c r="A108" s="595"/>
      <c r="B108" s="115" t="s">
        <v>286</v>
      </c>
      <c r="C108" s="268">
        <v>10</v>
      </c>
      <c r="D108" s="268">
        <v>1008</v>
      </c>
      <c r="E108" s="269">
        <v>424</v>
      </c>
    </row>
    <row r="109" spans="1:5" ht="14.25" customHeight="1">
      <c r="A109" s="595" t="s">
        <v>64</v>
      </c>
      <c r="B109" s="115" t="s">
        <v>285</v>
      </c>
      <c r="C109" s="170">
        <v>9</v>
      </c>
      <c r="D109" s="170">
        <v>619</v>
      </c>
      <c r="E109" s="171">
        <v>132</v>
      </c>
    </row>
    <row r="110" spans="1:5" ht="14.25" customHeight="1">
      <c r="A110" s="595"/>
      <c r="B110" s="115" t="s">
        <v>286</v>
      </c>
      <c r="C110" s="170">
        <v>8</v>
      </c>
      <c r="D110" s="170">
        <v>508</v>
      </c>
      <c r="E110" s="171">
        <v>121</v>
      </c>
    </row>
  </sheetData>
  <mergeCells count="60">
    <mergeCell ref="A109:A110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85:A86"/>
    <mergeCell ref="A64:A65"/>
    <mergeCell ref="A66:A67"/>
    <mergeCell ref="A68:A69"/>
    <mergeCell ref="A70:A71"/>
    <mergeCell ref="A72:A73"/>
    <mergeCell ref="A74:A75"/>
    <mergeCell ref="A76:E76"/>
    <mergeCell ref="A77:A78"/>
    <mergeCell ref="A79:A80"/>
    <mergeCell ref="A81:A82"/>
    <mergeCell ref="A83:A84"/>
    <mergeCell ref="A62:A63"/>
    <mergeCell ref="A41:E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39:A40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15:A16"/>
    <mergeCell ref="A1:E1"/>
    <mergeCell ref="A2:E2"/>
    <mergeCell ref="D3:E3"/>
    <mergeCell ref="A4:B5"/>
    <mergeCell ref="C4:C5"/>
    <mergeCell ref="D4:E4"/>
    <mergeCell ref="A6:E6"/>
    <mergeCell ref="A7:A8"/>
    <mergeCell ref="A9:A10"/>
    <mergeCell ref="A11:A12"/>
    <mergeCell ref="A13:A14"/>
  </mergeCells>
  <hyperlinks>
    <hyperlink ref="I3:J3" location="'SPIS TREŚCI'!A1" display="'SPIS TREŚCI'!A1" xr:uid="{00000000-0004-0000-3200-000000000000}"/>
    <hyperlink ref="I3" location="'Spis tablic'!A4" display="Powrót do spisu treści" xr:uid="{00000000-0004-0000-3200-000001000000}"/>
    <hyperlink ref="D3:E3" location="'Spis tablic  List of tables'!A73" display="'Spis tablic  List of tables'!A73" xr:uid="{00000000-0004-0000-3200-000002000000}"/>
  </hyperlinks>
  <pageMargins left="0.7" right="0.7" top="0.75" bottom="0.75" header="0.3" footer="0.3"/>
  <pageSetup paperSize="9" scale="110" fitToWidth="0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86"/>
  <sheetViews>
    <sheetView zoomScaleNormal="100" workbookViewId="0">
      <pane xSplit="1" ySplit="6" topLeftCell="B7" activePane="bottomRight" state="frozen"/>
      <selection activeCell="V29" sqref="V29"/>
      <selection pane="topRight" activeCell="V29" sqref="V29"/>
      <selection pane="bottomLeft" activeCell="V29" sqref="V29"/>
      <selection pane="bottomRight" activeCell="G3" sqref="G3:H3"/>
    </sheetView>
  </sheetViews>
  <sheetFormatPr defaultColWidth="9.1796875" defaultRowHeight="14.5"/>
  <cols>
    <col min="1" max="1" width="21" style="108" customWidth="1"/>
    <col min="2" max="2" width="4.54296875" style="108" customWidth="1"/>
    <col min="3" max="8" width="12.54296875" style="50" customWidth="1"/>
    <col min="9" max="16384" width="9.1796875" style="50"/>
  </cols>
  <sheetData>
    <row r="1" spans="1:14" s="39" customFormat="1" ht="18.649999999999999" customHeight="1">
      <c r="A1" s="656" t="s">
        <v>1347</v>
      </c>
      <c r="B1" s="656"/>
      <c r="C1" s="656"/>
      <c r="D1" s="656"/>
      <c r="E1" s="656"/>
      <c r="F1" s="656"/>
      <c r="G1" s="656"/>
      <c r="H1" s="656"/>
    </row>
    <row r="2" spans="1:14" s="39" customFormat="1" ht="15.65" customHeight="1">
      <c r="A2" s="583" t="s">
        <v>999</v>
      </c>
      <c r="B2" s="583"/>
      <c r="C2" s="583"/>
      <c r="D2" s="583"/>
      <c r="E2" s="583"/>
      <c r="F2" s="583"/>
      <c r="G2" s="583"/>
      <c r="H2" s="583"/>
    </row>
    <row r="3" spans="1:14" s="69" customFormat="1" ht="28.4" customHeight="1">
      <c r="A3" s="272"/>
      <c r="B3" s="273"/>
      <c r="G3" s="537" t="s">
        <v>5</v>
      </c>
      <c r="H3" s="547"/>
    </row>
    <row r="4" spans="1:14" s="41" customFormat="1" ht="32.25" customHeight="1">
      <c r="A4" s="573" t="s">
        <v>1191</v>
      </c>
      <c r="B4" s="643"/>
      <c r="C4" s="569" t="s">
        <v>284</v>
      </c>
      <c r="D4" s="569"/>
      <c r="E4" s="569"/>
      <c r="F4" s="569" t="s">
        <v>1000</v>
      </c>
      <c r="G4" s="569"/>
      <c r="H4" s="543"/>
    </row>
    <row r="5" spans="1:14" s="41" customFormat="1" ht="32.25" customHeight="1">
      <c r="A5" s="573"/>
      <c r="B5" s="643"/>
      <c r="C5" s="569" t="s">
        <v>1001</v>
      </c>
      <c r="D5" s="569" t="s">
        <v>1002</v>
      </c>
      <c r="E5" s="569"/>
      <c r="F5" s="569" t="s">
        <v>1001</v>
      </c>
      <c r="G5" s="569" t="s">
        <v>1003</v>
      </c>
      <c r="H5" s="543"/>
    </row>
    <row r="6" spans="1:14" s="41" customFormat="1" ht="63.75" customHeight="1">
      <c r="A6" s="573"/>
      <c r="B6" s="643"/>
      <c r="C6" s="569"/>
      <c r="D6" s="261" t="s">
        <v>80</v>
      </c>
      <c r="E6" s="261" t="s">
        <v>40</v>
      </c>
      <c r="F6" s="569"/>
      <c r="G6" s="261" t="s">
        <v>80</v>
      </c>
      <c r="H6" s="260" t="s">
        <v>40</v>
      </c>
      <c r="J6" s="48"/>
    </row>
    <row r="7" spans="1:14" s="41" customFormat="1" ht="14.25" customHeight="1">
      <c r="A7" s="589" t="s">
        <v>366</v>
      </c>
      <c r="B7" s="115" t="s">
        <v>285</v>
      </c>
      <c r="C7" s="182">
        <v>309</v>
      </c>
      <c r="D7" s="182">
        <v>30152</v>
      </c>
      <c r="E7" s="182">
        <v>9148</v>
      </c>
      <c r="F7" s="182">
        <v>192</v>
      </c>
      <c r="G7" s="182">
        <v>17482</v>
      </c>
      <c r="H7" s="183">
        <v>6295</v>
      </c>
    </row>
    <row r="8" spans="1:14" s="41" customFormat="1" ht="14.25" customHeight="1">
      <c r="A8" s="590"/>
      <c r="B8" s="52" t="s">
        <v>286</v>
      </c>
      <c r="C8" s="219">
        <v>317</v>
      </c>
      <c r="D8" s="219">
        <v>31072</v>
      </c>
      <c r="E8" s="219">
        <v>9374</v>
      </c>
      <c r="F8" s="219">
        <v>199</v>
      </c>
      <c r="G8" s="219">
        <v>17900</v>
      </c>
      <c r="H8" s="220">
        <v>6445</v>
      </c>
      <c r="I8" s="274"/>
      <c r="J8" s="274"/>
      <c r="K8" s="274"/>
      <c r="L8" s="274"/>
      <c r="M8" s="274"/>
      <c r="N8" s="274"/>
    </row>
    <row r="9" spans="1:14" s="41" customFormat="1" ht="14.25" customHeight="1">
      <c r="A9" s="595" t="s">
        <v>49</v>
      </c>
      <c r="B9" s="115" t="s">
        <v>285</v>
      </c>
      <c r="C9" s="182">
        <v>19</v>
      </c>
      <c r="D9" s="182">
        <v>2140</v>
      </c>
      <c r="E9" s="182">
        <v>495</v>
      </c>
      <c r="F9" s="182">
        <v>11</v>
      </c>
      <c r="G9" s="182">
        <v>466</v>
      </c>
      <c r="H9" s="183">
        <v>165</v>
      </c>
    </row>
    <row r="10" spans="1:14" s="41" customFormat="1" ht="14.25" customHeight="1">
      <c r="A10" s="595"/>
      <c r="B10" s="115" t="s">
        <v>286</v>
      </c>
      <c r="C10" s="182">
        <v>19</v>
      </c>
      <c r="D10" s="182">
        <v>2316</v>
      </c>
      <c r="E10" s="182">
        <v>567</v>
      </c>
      <c r="F10" s="182">
        <v>11</v>
      </c>
      <c r="G10" s="182">
        <v>479</v>
      </c>
      <c r="H10" s="183">
        <v>163</v>
      </c>
      <c r="I10" s="274"/>
      <c r="J10" s="274"/>
      <c r="K10" s="274"/>
      <c r="L10" s="274"/>
    </row>
    <row r="11" spans="1:14" s="41" customFormat="1" ht="14.25" customHeight="1">
      <c r="A11" s="595" t="s">
        <v>50</v>
      </c>
      <c r="B11" s="115" t="s">
        <v>285</v>
      </c>
      <c r="C11" s="182">
        <v>17</v>
      </c>
      <c r="D11" s="182">
        <v>2581</v>
      </c>
      <c r="E11" s="182">
        <v>755</v>
      </c>
      <c r="F11" s="182">
        <v>13</v>
      </c>
      <c r="G11" s="182">
        <v>2220</v>
      </c>
      <c r="H11" s="183">
        <v>702</v>
      </c>
    </row>
    <row r="12" spans="1:14" s="41" customFormat="1" ht="14.25" customHeight="1">
      <c r="A12" s="595"/>
      <c r="B12" s="115" t="s">
        <v>286</v>
      </c>
      <c r="C12" s="182">
        <v>17</v>
      </c>
      <c r="D12" s="182">
        <v>2637</v>
      </c>
      <c r="E12" s="182">
        <v>786</v>
      </c>
      <c r="F12" s="182">
        <v>13</v>
      </c>
      <c r="G12" s="182">
        <v>2284</v>
      </c>
      <c r="H12" s="183">
        <v>730</v>
      </c>
      <c r="I12" s="274"/>
      <c r="J12" s="274"/>
      <c r="K12" s="274"/>
      <c r="L12" s="274"/>
      <c r="M12" s="274"/>
      <c r="N12" s="274"/>
    </row>
    <row r="13" spans="1:14" s="41" customFormat="1" ht="14.25" customHeight="1">
      <c r="A13" s="595" t="s">
        <v>51</v>
      </c>
      <c r="B13" s="115" t="s">
        <v>285</v>
      </c>
      <c r="C13" s="182">
        <v>9</v>
      </c>
      <c r="D13" s="182">
        <v>963</v>
      </c>
      <c r="E13" s="182">
        <v>331</v>
      </c>
      <c r="F13" s="182">
        <v>4</v>
      </c>
      <c r="G13" s="182">
        <v>241</v>
      </c>
      <c r="H13" s="183">
        <v>70</v>
      </c>
    </row>
    <row r="14" spans="1:14" s="41" customFormat="1" ht="14.25" customHeight="1">
      <c r="A14" s="595"/>
      <c r="B14" s="115" t="s">
        <v>286</v>
      </c>
      <c r="C14" s="182">
        <v>10</v>
      </c>
      <c r="D14" s="182">
        <v>971</v>
      </c>
      <c r="E14" s="182">
        <v>341</v>
      </c>
      <c r="F14" s="182">
        <v>5</v>
      </c>
      <c r="G14" s="182">
        <v>279</v>
      </c>
      <c r="H14" s="183">
        <v>81</v>
      </c>
      <c r="I14" s="274"/>
      <c r="J14" s="274"/>
      <c r="K14" s="274"/>
      <c r="L14" s="274"/>
    </row>
    <row r="15" spans="1:14" s="41" customFormat="1" ht="14.25" customHeight="1">
      <c r="A15" s="595" t="s">
        <v>52</v>
      </c>
      <c r="B15" s="115" t="s">
        <v>285</v>
      </c>
      <c r="C15" s="182">
        <v>5</v>
      </c>
      <c r="D15" s="182">
        <v>956</v>
      </c>
      <c r="E15" s="182">
        <v>365</v>
      </c>
      <c r="F15" s="182">
        <v>4</v>
      </c>
      <c r="G15" s="182">
        <v>815</v>
      </c>
      <c r="H15" s="183">
        <v>311</v>
      </c>
    </row>
    <row r="16" spans="1:14" s="41" customFormat="1" ht="14.25" customHeight="1">
      <c r="A16" s="595"/>
      <c r="B16" s="115" t="s">
        <v>286</v>
      </c>
      <c r="C16" s="182">
        <v>5</v>
      </c>
      <c r="D16" s="182">
        <v>934</v>
      </c>
      <c r="E16" s="182">
        <v>343</v>
      </c>
      <c r="F16" s="182">
        <v>4</v>
      </c>
      <c r="G16" s="182">
        <v>829</v>
      </c>
      <c r="H16" s="183">
        <v>307</v>
      </c>
      <c r="I16" s="274"/>
    </row>
    <row r="17" spans="1:14" s="41" customFormat="1" ht="14.25" customHeight="1">
      <c r="A17" s="595" t="s">
        <v>53</v>
      </c>
      <c r="B17" s="115" t="s">
        <v>285</v>
      </c>
      <c r="C17" s="182">
        <v>16</v>
      </c>
      <c r="D17" s="182">
        <v>2352</v>
      </c>
      <c r="E17" s="182">
        <v>729</v>
      </c>
      <c r="F17" s="182">
        <v>5</v>
      </c>
      <c r="G17" s="182">
        <v>505</v>
      </c>
      <c r="H17" s="183">
        <v>208</v>
      </c>
    </row>
    <row r="18" spans="1:14" s="41" customFormat="1" ht="14.25" customHeight="1">
      <c r="A18" s="595"/>
      <c r="B18" s="115" t="s">
        <v>286</v>
      </c>
      <c r="C18" s="182">
        <v>17</v>
      </c>
      <c r="D18" s="182">
        <v>2362</v>
      </c>
      <c r="E18" s="182">
        <v>698</v>
      </c>
      <c r="F18" s="182">
        <v>6</v>
      </c>
      <c r="G18" s="182">
        <v>555</v>
      </c>
      <c r="H18" s="183">
        <v>246</v>
      </c>
      <c r="I18" s="274"/>
      <c r="J18" s="274"/>
      <c r="K18" s="274"/>
      <c r="L18" s="274"/>
      <c r="M18" s="274"/>
      <c r="N18" s="274"/>
    </row>
    <row r="19" spans="1:14" s="41" customFormat="1" ht="14.25" customHeight="1">
      <c r="A19" s="595" t="s">
        <v>54</v>
      </c>
      <c r="B19" s="115" t="s">
        <v>285</v>
      </c>
      <c r="C19" s="182">
        <v>22</v>
      </c>
      <c r="D19" s="182">
        <v>1842</v>
      </c>
      <c r="E19" s="182">
        <v>547</v>
      </c>
      <c r="F19" s="182">
        <v>11</v>
      </c>
      <c r="G19" s="182">
        <v>831</v>
      </c>
      <c r="H19" s="183">
        <v>369</v>
      </c>
    </row>
    <row r="20" spans="1:14" s="41" customFormat="1" ht="14.25" customHeight="1">
      <c r="A20" s="595"/>
      <c r="B20" s="115" t="s">
        <v>286</v>
      </c>
      <c r="C20" s="182">
        <v>23</v>
      </c>
      <c r="D20" s="182">
        <v>1689</v>
      </c>
      <c r="E20" s="182">
        <v>503</v>
      </c>
      <c r="F20" s="182">
        <v>11</v>
      </c>
      <c r="G20" s="182">
        <v>654</v>
      </c>
      <c r="H20" s="183">
        <v>297</v>
      </c>
      <c r="I20" s="274"/>
      <c r="J20" s="274"/>
      <c r="K20" s="274"/>
      <c r="L20" s="274"/>
      <c r="M20" s="274"/>
      <c r="N20" s="274"/>
    </row>
    <row r="21" spans="1:14" s="41" customFormat="1" ht="14.25" customHeight="1">
      <c r="A21" s="595" t="s">
        <v>55</v>
      </c>
      <c r="B21" s="115" t="s">
        <v>285</v>
      </c>
      <c r="C21" s="182">
        <v>15</v>
      </c>
      <c r="D21" s="182">
        <v>1771</v>
      </c>
      <c r="E21" s="182">
        <v>598</v>
      </c>
      <c r="F21" s="182">
        <v>11</v>
      </c>
      <c r="G21" s="182">
        <v>1538</v>
      </c>
      <c r="H21" s="183">
        <v>513</v>
      </c>
    </row>
    <row r="22" spans="1:14" s="41" customFormat="1" ht="14.25" customHeight="1">
      <c r="A22" s="595"/>
      <c r="B22" s="115" t="s">
        <v>286</v>
      </c>
      <c r="C22" s="182">
        <v>16</v>
      </c>
      <c r="D22" s="182">
        <v>1785</v>
      </c>
      <c r="E22" s="182">
        <v>602</v>
      </c>
      <c r="F22" s="182">
        <v>12</v>
      </c>
      <c r="G22" s="182">
        <v>1574</v>
      </c>
      <c r="H22" s="183">
        <v>534</v>
      </c>
      <c r="I22" s="274"/>
    </row>
    <row r="23" spans="1:14" s="41" customFormat="1" ht="14.25" customHeight="1">
      <c r="A23" s="595" t="s">
        <v>56</v>
      </c>
      <c r="B23" s="115" t="s">
        <v>285</v>
      </c>
      <c r="C23" s="182">
        <v>8</v>
      </c>
      <c r="D23" s="182">
        <v>524</v>
      </c>
      <c r="E23" s="182">
        <v>170</v>
      </c>
      <c r="F23" s="182">
        <v>8</v>
      </c>
      <c r="G23" s="182">
        <v>524</v>
      </c>
      <c r="H23" s="183">
        <v>170</v>
      </c>
    </row>
    <row r="24" spans="1:14" s="41" customFormat="1" ht="14.25" customHeight="1">
      <c r="A24" s="595"/>
      <c r="B24" s="115" t="s">
        <v>286</v>
      </c>
      <c r="C24" s="182">
        <v>8</v>
      </c>
      <c r="D24" s="182">
        <v>571</v>
      </c>
      <c r="E24" s="182">
        <v>188</v>
      </c>
      <c r="F24" s="182">
        <v>8</v>
      </c>
      <c r="G24" s="182">
        <v>571</v>
      </c>
      <c r="H24" s="183">
        <v>188</v>
      </c>
      <c r="I24" s="274"/>
      <c r="J24" s="274"/>
      <c r="K24" s="274"/>
      <c r="L24" s="274"/>
      <c r="M24" s="274"/>
      <c r="N24" s="274"/>
    </row>
    <row r="25" spans="1:14" s="41" customFormat="1" ht="14.25" customHeight="1">
      <c r="A25" s="595" t="s">
        <v>57</v>
      </c>
      <c r="B25" s="115" t="s">
        <v>285</v>
      </c>
      <c r="C25" s="182">
        <v>35</v>
      </c>
      <c r="D25" s="182">
        <v>2624</v>
      </c>
      <c r="E25" s="182">
        <v>647</v>
      </c>
      <c r="F25" s="182">
        <v>14</v>
      </c>
      <c r="G25" s="182">
        <v>795</v>
      </c>
      <c r="H25" s="183">
        <v>368</v>
      </c>
    </row>
    <row r="26" spans="1:14" s="41" customFormat="1" ht="14.25" customHeight="1">
      <c r="A26" s="595"/>
      <c r="B26" s="115" t="s">
        <v>286</v>
      </c>
      <c r="C26" s="182">
        <v>35</v>
      </c>
      <c r="D26" s="182">
        <v>2738</v>
      </c>
      <c r="E26" s="182">
        <v>662</v>
      </c>
      <c r="F26" s="182">
        <v>18</v>
      </c>
      <c r="G26" s="182">
        <v>954</v>
      </c>
      <c r="H26" s="183">
        <v>402</v>
      </c>
      <c r="I26" s="274"/>
      <c r="J26" s="274"/>
      <c r="K26" s="274"/>
      <c r="L26" s="274"/>
      <c r="M26" s="274"/>
      <c r="N26" s="274"/>
    </row>
    <row r="27" spans="1:14" s="41" customFormat="1" ht="14.25" customHeight="1">
      <c r="A27" s="595" t="s">
        <v>58</v>
      </c>
      <c r="B27" s="115" t="s">
        <v>285</v>
      </c>
      <c r="C27" s="182">
        <v>8</v>
      </c>
      <c r="D27" s="182">
        <v>586</v>
      </c>
      <c r="E27" s="182">
        <v>126</v>
      </c>
      <c r="F27" s="182">
        <v>7</v>
      </c>
      <c r="G27" s="182">
        <v>483</v>
      </c>
      <c r="H27" s="183">
        <v>126</v>
      </c>
    </row>
    <row r="28" spans="1:14" s="41" customFormat="1" ht="14.25" customHeight="1">
      <c r="A28" s="595"/>
      <c r="B28" s="115" t="s">
        <v>286</v>
      </c>
      <c r="C28" s="182">
        <v>8</v>
      </c>
      <c r="D28" s="182">
        <v>507</v>
      </c>
      <c r="E28" s="182">
        <v>115</v>
      </c>
      <c r="F28" s="182">
        <v>7</v>
      </c>
      <c r="G28" s="182">
        <v>417</v>
      </c>
      <c r="H28" s="183">
        <v>115</v>
      </c>
      <c r="I28" s="274"/>
    </row>
    <row r="29" spans="1:14" s="41" customFormat="1" ht="14.25" customHeight="1">
      <c r="A29" s="595" t="s">
        <v>59</v>
      </c>
      <c r="B29" s="115" t="s">
        <v>285</v>
      </c>
      <c r="C29" s="182">
        <v>32</v>
      </c>
      <c r="D29" s="182">
        <v>2145</v>
      </c>
      <c r="E29" s="182">
        <v>713</v>
      </c>
      <c r="F29" s="182">
        <v>23</v>
      </c>
      <c r="G29" s="182">
        <v>1511</v>
      </c>
      <c r="H29" s="183">
        <v>618</v>
      </c>
    </row>
    <row r="30" spans="1:14" s="41" customFormat="1" ht="14.25" customHeight="1">
      <c r="A30" s="595"/>
      <c r="B30" s="115" t="s">
        <v>286</v>
      </c>
      <c r="C30" s="182">
        <v>31</v>
      </c>
      <c r="D30" s="182">
        <v>2289</v>
      </c>
      <c r="E30" s="182">
        <v>730</v>
      </c>
      <c r="F30" s="182">
        <v>21</v>
      </c>
      <c r="G30" s="182">
        <v>1608</v>
      </c>
      <c r="H30" s="183">
        <v>638</v>
      </c>
      <c r="I30" s="274"/>
      <c r="J30" s="274"/>
      <c r="K30" s="274"/>
      <c r="L30" s="274"/>
      <c r="M30" s="274"/>
      <c r="N30" s="274"/>
    </row>
    <row r="31" spans="1:14" s="41" customFormat="1" ht="14.25" customHeight="1">
      <c r="A31" s="595" t="s">
        <v>60</v>
      </c>
      <c r="B31" s="115" t="s">
        <v>285</v>
      </c>
      <c r="C31" s="182">
        <v>70</v>
      </c>
      <c r="D31" s="182">
        <v>7358</v>
      </c>
      <c r="E31" s="182">
        <v>2180</v>
      </c>
      <c r="F31" s="182">
        <v>43</v>
      </c>
      <c r="G31" s="182">
        <v>4140</v>
      </c>
      <c r="H31" s="183">
        <v>1405</v>
      </c>
    </row>
    <row r="32" spans="1:14" s="41" customFormat="1" ht="14.25" customHeight="1">
      <c r="A32" s="595"/>
      <c r="B32" s="115" t="s">
        <v>286</v>
      </c>
      <c r="C32" s="182">
        <v>72</v>
      </c>
      <c r="D32" s="182">
        <v>7708</v>
      </c>
      <c r="E32" s="182">
        <v>2282</v>
      </c>
      <c r="F32" s="182">
        <v>44</v>
      </c>
      <c r="G32" s="182">
        <v>4295</v>
      </c>
      <c r="H32" s="183">
        <v>1454</v>
      </c>
      <c r="I32" s="274"/>
      <c r="J32" s="274"/>
      <c r="K32" s="274"/>
      <c r="L32" s="274"/>
      <c r="M32" s="274"/>
      <c r="N32" s="274"/>
    </row>
    <row r="33" spans="1:14" s="41" customFormat="1" ht="14.25" customHeight="1">
      <c r="A33" s="595" t="s">
        <v>61</v>
      </c>
      <c r="B33" s="115" t="s">
        <v>285</v>
      </c>
      <c r="C33" s="182">
        <v>5</v>
      </c>
      <c r="D33" s="182">
        <v>631</v>
      </c>
      <c r="E33" s="182">
        <v>152</v>
      </c>
      <c r="F33" s="182">
        <v>4</v>
      </c>
      <c r="G33" s="182">
        <v>558</v>
      </c>
      <c r="H33" s="183">
        <v>152</v>
      </c>
    </row>
    <row r="34" spans="1:14" s="41" customFormat="1" ht="14.25" customHeight="1">
      <c r="A34" s="595"/>
      <c r="B34" s="115" t="s">
        <v>286</v>
      </c>
      <c r="C34" s="182">
        <v>4</v>
      </c>
      <c r="D34" s="182">
        <v>522</v>
      </c>
      <c r="E34" s="182">
        <v>142</v>
      </c>
      <c r="F34" s="182">
        <v>4</v>
      </c>
      <c r="G34" s="182">
        <v>522</v>
      </c>
      <c r="H34" s="183">
        <v>142</v>
      </c>
      <c r="I34" s="274"/>
    </row>
    <row r="35" spans="1:14" s="41" customFormat="1" ht="14.25" customHeight="1">
      <c r="A35" s="595" t="s">
        <v>62</v>
      </c>
      <c r="B35" s="115" t="s">
        <v>285</v>
      </c>
      <c r="C35" s="182">
        <v>7</v>
      </c>
      <c r="D35" s="182">
        <v>451</v>
      </c>
      <c r="E35" s="182">
        <v>187</v>
      </c>
      <c r="F35" s="182">
        <v>5</v>
      </c>
      <c r="G35" s="182">
        <v>336</v>
      </c>
      <c r="H35" s="183">
        <v>135</v>
      </c>
    </row>
    <row r="36" spans="1:14" s="41" customFormat="1" ht="14.25" customHeight="1">
      <c r="A36" s="595"/>
      <c r="B36" s="115" t="s">
        <v>286</v>
      </c>
      <c r="C36" s="182">
        <v>7</v>
      </c>
      <c r="D36" s="182">
        <v>457</v>
      </c>
      <c r="E36" s="182">
        <v>194</v>
      </c>
      <c r="F36" s="182">
        <v>5</v>
      </c>
      <c r="G36" s="182">
        <v>328</v>
      </c>
      <c r="H36" s="183">
        <v>133</v>
      </c>
      <c r="I36" s="274"/>
      <c r="J36" s="274"/>
      <c r="K36" s="274"/>
      <c r="L36" s="274"/>
      <c r="M36" s="274"/>
      <c r="N36" s="274"/>
    </row>
    <row r="37" spans="1:14" s="41" customFormat="1" ht="14.25" customHeight="1">
      <c r="A37" s="595" t="s">
        <v>63</v>
      </c>
      <c r="B37" s="115" t="s">
        <v>285</v>
      </c>
      <c r="C37" s="182">
        <v>26</v>
      </c>
      <c r="D37" s="182">
        <v>2073</v>
      </c>
      <c r="E37" s="182">
        <v>681</v>
      </c>
      <c r="F37" s="182">
        <v>16</v>
      </c>
      <c r="G37" s="182">
        <v>1423</v>
      </c>
      <c r="H37" s="183">
        <v>511</v>
      </c>
    </row>
    <row r="38" spans="1:14" s="41" customFormat="1" ht="14.25" customHeight="1">
      <c r="A38" s="595"/>
      <c r="B38" s="115" t="s">
        <v>286</v>
      </c>
      <c r="C38" s="182">
        <v>30</v>
      </c>
      <c r="D38" s="182">
        <v>2347</v>
      </c>
      <c r="E38" s="182">
        <v>702</v>
      </c>
      <c r="F38" s="182">
        <v>17</v>
      </c>
      <c r="G38" s="182">
        <v>1386</v>
      </c>
      <c r="H38" s="183">
        <v>496</v>
      </c>
      <c r="I38" s="274"/>
      <c r="J38" s="274"/>
      <c r="K38" s="274"/>
      <c r="L38" s="274"/>
      <c r="M38" s="274"/>
      <c r="N38" s="274"/>
    </row>
    <row r="39" spans="1:14" s="41" customFormat="1" ht="14.25" customHeight="1">
      <c r="A39" s="595" t="s">
        <v>64</v>
      </c>
      <c r="B39" s="115" t="s">
        <v>285</v>
      </c>
      <c r="C39" s="182">
        <v>15</v>
      </c>
      <c r="D39" s="182">
        <v>1155</v>
      </c>
      <c r="E39" s="182">
        <v>472</v>
      </c>
      <c r="F39" s="182">
        <v>13</v>
      </c>
      <c r="G39" s="182">
        <v>1096</v>
      </c>
      <c r="H39" s="183">
        <v>472</v>
      </c>
      <c r="J39" s="274"/>
    </row>
    <row r="40" spans="1:14" s="41" customFormat="1" ht="14.25" customHeight="1">
      <c r="A40" s="595"/>
      <c r="B40" s="115" t="s">
        <v>286</v>
      </c>
      <c r="C40" s="182">
        <v>15</v>
      </c>
      <c r="D40" s="182">
        <v>1239</v>
      </c>
      <c r="E40" s="182">
        <v>519</v>
      </c>
      <c r="F40" s="182">
        <v>13</v>
      </c>
      <c r="G40" s="182">
        <v>1165</v>
      </c>
      <c r="H40" s="183">
        <v>519</v>
      </c>
      <c r="J40" s="274"/>
    </row>
    <row r="41" spans="1:14">
      <c r="A41" s="275"/>
      <c r="B41" s="275"/>
      <c r="C41" s="60"/>
      <c r="D41" s="60"/>
      <c r="E41" s="60"/>
      <c r="F41" s="60"/>
      <c r="G41" s="60"/>
      <c r="H41" s="60"/>
    </row>
    <row r="42" spans="1:14">
      <c r="A42" s="275"/>
      <c r="B42" s="275"/>
      <c r="C42" s="276"/>
      <c r="D42" s="276"/>
      <c r="E42" s="276"/>
      <c r="F42" s="276"/>
      <c r="G42" s="276"/>
      <c r="H42" s="276"/>
    </row>
    <row r="43" spans="1:14">
      <c r="A43" s="275"/>
      <c r="B43" s="275"/>
      <c r="C43" s="276"/>
      <c r="D43" s="276"/>
      <c r="E43" s="276"/>
      <c r="F43" s="276"/>
      <c r="G43" s="276"/>
      <c r="H43" s="276"/>
    </row>
    <row r="44" spans="1:14">
      <c r="A44" s="275"/>
      <c r="B44" s="275"/>
      <c r="C44" s="276"/>
      <c r="D44" s="276"/>
      <c r="E44" s="276"/>
      <c r="F44" s="276"/>
      <c r="G44" s="276"/>
      <c r="H44" s="276"/>
    </row>
    <row r="45" spans="1:14">
      <c r="A45" s="275"/>
      <c r="B45" s="275"/>
      <c r="C45" s="276"/>
      <c r="D45" s="276"/>
      <c r="E45" s="276"/>
      <c r="F45" s="276"/>
      <c r="G45" s="276"/>
      <c r="H45" s="276"/>
    </row>
    <row r="46" spans="1:14">
      <c r="A46" s="275"/>
      <c r="B46" s="275"/>
      <c r="C46" s="276"/>
      <c r="D46" s="276"/>
      <c r="E46" s="276"/>
      <c r="F46" s="276"/>
      <c r="G46" s="276"/>
      <c r="H46" s="276"/>
    </row>
    <row r="47" spans="1:14">
      <c r="A47" s="275"/>
      <c r="B47" s="275"/>
      <c r="C47" s="276"/>
      <c r="D47" s="276"/>
      <c r="E47" s="276"/>
      <c r="F47" s="276"/>
      <c r="G47" s="276"/>
      <c r="H47" s="276"/>
    </row>
    <row r="48" spans="1:14">
      <c r="C48" s="276"/>
      <c r="D48" s="276"/>
      <c r="E48" s="276"/>
      <c r="F48" s="276"/>
      <c r="G48" s="276"/>
      <c r="H48" s="276"/>
    </row>
    <row r="49" spans="3:8">
      <c r="C49" s="276"/>
      <c r="D49" s="276"/>
      <c r="E49" s="276"/>
      <c r="F49" s="276"/>
      <c r="G49" s="276"/>
      <c r="H49" s="276"/>
    </row>
    <row r="50" spans="3:8">
      <c r="C50" s="276"/>
      <c r="D50" s="276"/>
      <c r="E50" s="276"/>
      <c r="F50" s="276"/>
      <c r="G50" s="276"/>
      <c r="H50" s="276"/>
    </row>
    <row r="51" spans="3:8">
      <c r="C51" s="276"/>
      <c r="D51" s="276"/>
      <c r="E51" s="276"/>
      <c r="F51" s="276"/>
      <c r="G51" s="276"/>
      <c r="H51" s="276"/>
    </row>
    <row r="52" spans="3:8">
      <c r="C52" s="276"/>
      <c r="D52" s="276"/>
      <c r="E52" s="276"/>
      <c r="F52" s="276"/>
      <c r="G52" s="276"/>
      <c r="H52" s="276"/>
    </row>
    <row r="53" spans="3:8">
      <c r="C53" s="276"/>
      <c r="D53" s="276"/>
      <c r="E53" s="276"/>
      <c r="F53" s="276"/>
      <c r="G53" s="276"/>
      <c r="H53" s="276"/>
    </row>
    <row r="54" spans="3:8">
      <c r="C54" s="276"/>
      <c r="D54" s="276"/>
      <c r="E54" s="276"/>
      <c r="F54" s="276"/>
      <c r="G54" s="276"/>
      <c r="H54" s="276"/>
    </row>
    <row r="55" spans="3:8">
      <c r="C55" s="276"/>
      <c r="D55" s="276"/>
      <c r="E55" s="276"/>
      <c r="F55" s="276"/>
      <c r="G55" s="276"/>
      <c r="H55" s="276"/>
    </row>
    <row r="56" spans="3:8">
      <c r="C56" s="276"/>
      <c r="D56" s="276"/>
      <c r="E56" s="276"/>
      <c r="F56" s="276"/>
      <c r="G56" s="276"/>
      <c r="H56" s="276"/>
    </row>
    <row r="57" spans="3:8">
      <c r="C57" s="276"/>
      <c r="D57" s="276"/>
      <c r="E57" s="276"/>
      <c r="F57" s="276"/>
      <c r="G57" s="276"/>
      <c r="H57" s="276"/>
    </row>
    <row r="58" spans="3:8">
      <c r="C58" s="276"/>
      <c r="D58" s="276"/>
      <c r="E58" s="276"/>
      <c r="F58" s="276"/>
      <c r="G58" s="276"/>
      <c r="H58" s="276"/>
    </row>
    <row r="59" spans="3:8">
      <c r="C59" s="276"/>
      <c r="D59" s="276"/>
      <c r="E59" s="276"/>
      <c r="F59" s="276"/>
      <c r="G59" s="276"/>
      <c r="H59" s="276"/>
    </row>
    <row r="60" spans="3:8">
      <c r="C60" s="276"/>
      <c r="D60" s="276"/>
      <c r="E60" s="276"/>
      <c r="F60" s="276"/>
      <c r="G60" s="276"/>
      <c r="H60" s="276"/>
    </row>
    <row r="61" spans="3:8">
      <c r="C61" s="276"/>
      <c r="D61" s="276"/>
      <c r="E61" s="276"/>
      <c r="F61" s="276"/>
      <c r="G61" s="276"/>
      <c r="H61" s="276"/>
    </row>
    <row r="62" spans="3:8">
      <c r="C62" s="276"/>
      <c r="D62" s="276"/>
      <c r="E62" s="276"/>
      <c r="F62" s="276"/>
      <c r="G62" s="276"/>
      <c r="H62" s="276"/>
    </row>
    <row r="63" spans="3:8">
      <c r="C63" s="276"/>
      <c r="D63" s="276"/>
      <c r="E63" s="276"/>
      <c r="F63" s="276"/>
      <c r="G63" s="276"/>
      <c r="H63" s="276"/>
    </row>
    <row r="64" spans="3:8">
      <c r="C64" s="276"/>
      <c r="D64" s="276"/>
      <c r="E64" s="276"/>
      <c r="F64" s="276"/>
      <c r="G64" s="276"/>
      <c r="H64" s="276"/>
    </row>
    <row r="65" spans="3:8">
      <c r="C65" s="276"/>
      <c r="D65" s="276"/>
      <c r="E65" s="276"/>
      <c r="F65" s="276"/>
      <c r="G65" s="276"/>
      <c r="H65" s="276"/>
    </row>
    <row r="66" spans="3:8">
      <c r="C66" s="276"/>
      <c r="D66" s="276"/>
      <c r="E66" s="276"/>
      <c r="F66" s="276"/>
      <c r="G66" s="276"/>
      <c r="H66" s="276"/>
    </row>
    <row r="67" spans="3:8">
      <c r="C67" s="276"/>
      <c r="D67" s="276"/>
      <c r="E67" s="276"/>
      <c r="F67" s="276"/>
      <c r="G67" s="276"/>
      <c r="H67" s="276"/>
    </row>
    <row r="68" spans="3:8">
      <c r="C68" s="276"/>
      <c r="D68" s="276"/>
      <c r="E68" s="276"/>
      <c r="F68" s="276"/>
      <c r="G68" s="276"/>
      <c r="H68" s="276"/>
    </row>
    <row r="69" spans="3:8">
      <c r="C69" s="276"/>
      <c r="D69" s="276"/>
      <c r="E69" s="276"/>
      <c r="F69" s="276"/>
      <c r="G69" s="276"/>
      <c r="H69" s="276"/>
    </row>
    <row r="70" spans="3:8">
      <c r="C70" s="276"/>
      <c r="D70" s="276"/>
      <c r="E70" s="276"/>
      <c r="F70" s="276"/>
      <c r="G70" s="276"/>
      <c r="H70" s="276"/>
    </row>
    <row r="71" spans="3:8">
      <c r="C71" s="276"/>
      <c r="D71" s="276"/>
      <c r="E71" s="276"/>
      <c r="F71" s="276"/>
      <c r="G71" s="276"/>
      <c r="H71" s="276"/>
    </row>
    <row r="72" spans="3:8">
      <c r="C72" s="276"/>
      <c r="D72" s="276"/>
      <c r="E72" s="276"/>
      <c r="F72" s="276"/>
      <c r="G72" s="276"/>
      <c r="H72" s="276"/>
    </row>
    <row r="73" spans="3:8">
      <c r="C73" s="276"/>
      <c r="D73" s="276"/>
      <c r="E73" s="276"/>
      <c r="F73" s="276"/>
      <c r="G73" s="276"/>
      <c r="H73" s="276"/>
    </row>
    <row r="74" spans="3:8">
      <c r="C74" s="276"/>
      <c r="D74" s="276"/>
      <c r="E74" s="276"/>
      <c r="F74" s="276"/>
      <c r="G74" s="276"/>
      <c r="H74" s="276"/>
    </row>
    <row r="75" spans="3:8">
      <c r="C75" s="276"/>
      <c r="D75" s="276"/>
      <c r="E75" s="276"/>
      <c r="F75" s="276"/>
      <c r="G75" s="276"/>
      <c r="H75" s="276"/>
    </row>
    <row r="76" spans="3:8">
      <c r="C76" s="60"/>
      <c r="D76" s="60"/>
      <c r="E76" s="60"/>
      <c r="F76" s="60"/>
      <c r="G76" s="60"/>
      <c r="H76" s="60"/>
    </row>
    <row r="77" spans="3:8">
      <c r="C77" s="60"/>
      <c r="D77" s="60"/>
      <c r="E77" s="60"/>
      <c r="F77" s="60"/>
      <c r="G77" s="60"/>
      <c r="H77" s="60"/>
    </row>
    <row r="78" spans="3:8">
      <c r="C78" s="60"/>
      <c r="D78" s="60"/>
      <c r="E78" s="60"/>
      <c r="F78" s="60"/>
      <c r="G78" s="60"/>
      <c r="H78" s="60"/>
    </row>
    <row r="79" spans="3:8">
      <c r="C79" s="60"/>
      <c r="D79" s="60"/>
      <c r="E79" s="60"/>
      <c r="F79" s="60"/>
      <c r="G79" s="60"/>
      <c r="H79" s="60"/>
    </row>
    <row r="80" spans="3:8">
      <c r="C80" s="60"/>
      <c r="D80" s="60"/>
      <c r="E80" s="60"/>
      <c r="F80" s="60"/>
      <c r="G80" s="60"/>
      <c r="H80" s="60"/>
    </row>
    <row r="81" spans="3:8">
      <c r="C81" s="60"/>
      <c r="D81" s="60"/>
      <c r="E81" s="60"/>
      <c r="F81" s="60"/>
      <c r="G81" s="60"/>
      <c r="H81" s="60"/>
    </row>
    <row r="82" spans="3:8">
      <c r="C82" s="60"/>
      <c r="D82" s="60"/>
      <c r="E82" s="60"/>
      <c r="F82" s="60"/>
      <c r="G82" s="60"/>
      <c r="H82" s="60"/>
    </row>
    <row r="83" spans="3:8">
      <c r="C83" s="60"/>
      <c r="D83" s="60"/>
      <c r="E83" s="60"/>
      <c r="F83" s="60"/>
      <c r="G83" s="60"/>
      <c r="H83" s="60"/>
    </row>
    <row r="84" spans="3:8">
      <c r="C84" s="60"/>
      <c r="D84" s="60"/>
      <c r="E84" s="60"/>
      <c r="F84" s="60"/>
      <c r="G84" s="60"/>
      <c r="H84" s="60"/>
    </row>
    <row r="85" spans="3:8">
      <c r="C85" s="60"/>
      <c r="D85" s="60"/>
      <c r="E85" s="60"/>
      <c r="F85" s="60"/>
      <c r="G85" s="60"/>
      <c r="H85" s="60"/>
    </row>
    <row r="86" spans="3:8">
      <c r="C86" s="60"/>
      <c r="D86" s="60"/>
      <c r="E86" s="60"/>
      <c r="F86" s="60"/>
      <c r="G86" s="60"/>
      <c r="H86" s="60"/>
    </row>
  </sheetData>
  <mergeCells count="27">
    <mergeCell ref="A31:A32"/>
    <mergeCell ref="A33:A34"/>
    <mergeCell ref="A35:A36"/>
    <mergeCell ref="A37:A38"/>
    <mergeCell ref="A39:A40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1:H1"/>
    <mergeCell ref="A2:H2"/>
    <mergeCell ref="G3:H3"/>
    <mergeCell ref="A4:B6"/>
    <mergeCell ref="C4:E4"/>
    <mergeCell ref="F4:H4"/>
    <mergeCell ref="C5:C6"/>
    <mergeCell ref="D5:E5"/>
    <mergeCell ref="F5:F6"/>
    <mergeCell ref="G5:H5"/>
  </mergeCells>
  <hyperlinks>
    <hyperlink ref="G3" location="'Spis tablic'!A4" display="Powrót do spisu treści" xr:uid="{00000000-0004-0000-3300-000000000000}"/>
    <hyperlink ref="G3:H3" location="'Spis tablic  List of tables'!A75" display="'Spis tablic  List of tables'!A75" xr:uid="{00000000-0004-0000-3300-000001000000}"/>
  </hyperlinks>
  <pageMargins left="0.7" right="0.7" top="0.75" bottom="0.75" header="0.3" footer="0.3"/>
  <pageSetup paperSize="9" scale="8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Arkusz39"/>
  <dimension ref="A1:K52"/>
  <sheetViews>
    <sheetView zoomScaleNormal="100" workbookViewId="0">
      <selection activeCell="A6" sqref="A6:A7"/>
    </sheetView>
  </sheetViews>
  <sheetFormatPr defaultColWidth="9.1796875" defaultRowHeight="14.5"/>
  <cols>
    <col min="1" max="1" width="21" style="50" customWidth="1"/>
    <col min="2" max="2" width="5.453125" style="50" customWidth="1"/>
    <col min="3" max="8" width="15.54296875" style="50" customWidth="1"/>
    <col min="9" max="16384" width="9.1796875" style="50"/>
  </cols>
  <sheetData>
    <row r="1" spans="1:11" s="39" customFormat="1" ht="17.25" customHeight="1">
      <c r="A1" s="656" t="s">
        <v>1336</v>
      </c>
      <c r="B1" s="656"/>
      <c r="C1" s="656"/>
      <c r="D1" s="656"/>
      <c r="E1" s="656"/>
      <c r="F1" s="656"/>
      <c r="G1" s="656"/>
      <c r="H1" s="656"/>
    </row>
    <row r="2" spans="1:11" s="39" customFormat="1" ht="14.25" customHeight="1">
      <c r="A2" s="583" t="s">
        <v>373</v>
      </c>
      <c r="B2" s="583"/>
      <c r="C2" s="583"/>
      <c r="D2" s="583"/>
      <c r="E2" s="583"/>
      <c r="F2" s="583"/>
      <c r="G2" s="583"/>
      <c r="H2" s="583"/>
    </row>
    <row r="3" spans="1:11" s="39" customFormat="1" ht="29.5" customHeight="1">
      <c r="A3" s="136"/>
      <c r="B3" s="137"/>
      <c r="C3" s="69"/>
      <c r="D3" s="69"/>
      <c r="E3" s="69"/>
      <c r="F3" s="69"/>
      <c r="G3" s="537" t="s">
        <v>5</v>
      </c>
      <c r="H3" s="547"/>
    </row>
    <row r="4" spans="1:11" s="41" customFormat="1" ht="32.25" customHeight="1">
      <c r="A4" s="573" t="s">
        <v>1191</v>
      </c>
      <c r="B4" s="643"/>
      <c r="C4" s="569" t="s">
        <v>367</v>
      </c>
      <c r="D4" s="569"/>
      <c r="E4" s="569"/>
      <c r="F4" s="569" t="s">
        <v>368</v>
      </c>
      <c r="G4" s="569"/>
      <c r="H4" s="543"/>
    </row>
    <row r="5" spans="1:11" s="41" customFormat="1" ht="44.25" customHeight="1">
      <c r="A5" s="573"/>
      <c r="B5" s="643"/>
      <c r="C5" s="44" t="s">
        <v>80</v>
      </c>
      <c r="D5" s="44" t="s">
        <v>369</v>
      </c>
      <c r="E5" s="44" t="s">
        <v>370</v>
      </c>
      <c r="F5" s="44" t="s">
        <v>80</v>
      </c>
      <c r="G5" s="44" t="s">
        <v>371</v>
      </c>
      <c r="H5" s="45" t="s">
        <v>372</v>
      </c>
      <c r="J5" s="48"/>
    </row>
    <row r="6" spans="1:11" s="41" customFormat="1" ht="14.25" customHeight="1">
      <c r="A6" s="590" t="s">
        <v>366</v>
      </c>
      <c r="B6" s="115" t="s">
        <v>285</v>
      </c>
      <c r="C6" s="170">
        <v>3424</v>
      </c>
      <c r="D6" s="170">
        <v>2817</v>
      </c>
      <c r="E6" s="170">
        <v>607</v>
      </c>
      <c r="F6" s="170">
        <v>16679923</v>
      </c>
      <c r="G6" s="170">
        <v>382997</v>
      </c>
      <c r="H6" s="171">
        <v>16296926</v>
      </c>
      <c r="J6" s="247"/>
      <c r="K6" s="247"/>
    </row>
    <row r="7" spans="1:11" s="41" customFormat="1" ht="14.25" customHeight="1">
      <c r="A7" s="590"/>
      <c r="B7" s="52" t="s">
        <v>286</v>
      </c>
      <c r="C7" s="202">
        <v>3731</v>
      </c>
      <c r="D7" s="202">
        <v>3039</v>
      </c>
      <c r="E7" s="202">
        <v>692</v>
      </c>
      <c r="F7" s="222">
        <v>16137477</v>
      </c>
      <c r="G7" s="222">
        <v>216942</v>
      </c>
      <c r="H7" s="203">
        <v>15920535</v>
      </c>
      <c r="J7" s="247"/>
      <c r="K7" s="247"/>
    </row>
    <row r="8" spans="1:11" s="41" customFormat="1" ht="14.25" customHeight="1">
      <c r="A8" s="595" t="s">
        <v>49</v>
      </c>
      <c r="B8" s="115" t="s">
        <v>285</v>
      </c>
      <c r="C8" s="204">
        <v>298</v>
      </c>
      <c r="D8" s="204">
        <v>266</v>
      </c>
      <c r="E8" s="204">
        <v>32</v>
      </c>
      <c r="F8" s="170">
        <v>1942057</v>
      </c>
      <c r="G8" s="170">
        <v>30145</v>
      </c>
      <c r="H8" s="205">
        <v>1911912</v>
      </c>
      <c r="J8" s="247"/>
      <c r="K8" s="247"/>
    </row>
    <row r="9" spans="1:11" s="41" customFormat="1" ht="14.25" customHeight="1">
      <c r="A9" s="595"/>
      <c r="B9" s="115" t="s">
        <v>286</v>
      </c>
      <c r="C9" s="204">
        <v>275</v>
      </c>
      <c r="D9" s="204">
        <v>229</v>
      </c>
      <c r="E9" s="204">
        <v>46</v>
      </c>
      <c r="F9" s="170">
        <v>1337884</v>
      </c>
      <c r="G9" s="170">
        <v>23800</v>
      </c>
      <c r="H9" s="205">
        <v>1314084</v>
      </c>
      <c r="J9" s="247"/>
      <c r="K9" s="247"/>
    </row>
    <row r="10" spans="1:11" s="41" customFormat="1" ht="14.25" customHeight="1">
      <c r="A10" s="595" t="s">
        <v>50</v>
      </c>
      <c r="B10" s="115" t="s">
        <v>285</v>
      </c>
      <c r="C10" s="204">
        <v>372</v>
      </c>
      <c r="D10" s="204">
        <v>354</v>
      </c>
      <c r="E10" s="204">
        <v>18</v>
      </c>
      <c r="F10" s="170">
        <v>1134515</v>
      </c>
      <c r="G10" s="170">
        <v>19800</v>
      </c>
      <c r="H10" s="205">
        <v>1114715</v>
      </c>
      <c r="J10" s="247"/>
      <c r="K10" s="247"/>
    </row>
    <row r="11" spans="1:11" s="41" customFormat="1" ht="14.25" customHeight="1">
      <c r="A11" s="595"/>
      <c r="B11" s="115" t="s">
        <v>286</v>
      </c>
      <c r="C11" s="204">
        <v>381</v>
      </c>
      <c r="D11" s="204">
        <v>358</v>
      </c>
      <c r="E11" s="204">
        <v>23</v>
      </c>
      <c r="F11" s="170">
        <v>1165453</v>
      </c>
      <c r="G11" s="170">
        <v>4500</v>
      </c>
      <c r="H11" s="205">
        <v>1160953</v>
      </c>
      <c r="J11" s="247"/>
      <c r="K11" s="247"/>
    </row>
    <row r="12" spans="1:11" s="41" customFormat="1" ht="14.25" customHeight="1">
      <c r="A12" s="595" t="s">
        <v>51</v>
      </c>
      <c r="B12" s="115" t="s">
        <v>285</v>
      </c>
      <c r="C12" s="204">
        <v>151</v>
      </c>
      <c r="D12" s="204">
        <v>119</v>
      </c>
      <c r="E12" s="204">
        <v>32</v>
      </c>
      <c r="F12" s="170">
        <v>534379</v>
      </c>
      <c r="G12" s="170">
        <v>40321</v>
      </c>
      <c r="H12" s="205">
        <v>494058</v>
      </c>
      <c r="J12" s="247"/>
      <c r="K12" s="247"/>
    </row>
    <row r="13" spans="1:11" s="41" customFormat="1" ht="14.25" customHeight="1">
      <c r="A13" s="595"/>
      <c r="B13" s="115" t="s">
        <v>286</v>
      </c>
      <c r="C13" s="204">
        <v>197</v>
      </c>
      <c r="D13" s="204">
        <v>159</v>
      </c>
      <c r="E13" s="204">
        <v>38</v>
      </c>
      <c r="F13" s="170">
        <v>695128</v>
      </c>
      <c r="G13" s="170">
        <v>26861</v>
      </c>
      <c r="H13" s="205">
        <v>668267</v>
      </c>
      <c r="J13" s="247"/>
      <c r="K13" s="247"/>
    </row>
    <row r="14" spans="1:11" s="41" customFormat="1" ht="14.25" customHeight="1">
      <c r="A14" s="595" t="s">
        <v>52</v>
      </c>
      <c r="B14" s="115" t="s">
        <v>285</v>
      </c>
      <c r="C14" s="204">
        <v>83</v>
      </c>
      <c r="D14" s="204">
        <v>66</v>
      </c>
      <c r="E14" s="204">
        <v>17</v>
      </c>
      <c r="F14" s="170">
        <v>317626</v>
      </c>
      <c r="G14" s="170">
        <v>16237</v>
      </c>
      <c r="H14" s="205">
        <v>301389</v>
      </c>
      <c r="J14" s="247"/>
      <c r="K14" s="247"/>
    </row>
    <row r="15" spans="1:11" s="41" customFormat="1" ht="14.25" customHeight="1">
      <c r="A15" s="595"/>
      <c r="B15" s="115" t="s">
        <v>286</v>
      </c>
      <c r="C15" s="204">
        <v>72</v>
      </c>
      <c r="D15" s="204">
        <v>61</v>
      </c>
      <c r="E15" s="204">
        <v>11</v>
      </c>
      <c r="F15" s="170">
        <v>371293</v>
      </c>
      <c r="G15" s="170">
        <v>10200</v>
      </c>
      <c r="H15" s="205">
        <v>361093</v>
      </c>
      <c r="J15" s="247"/>
      <c r="K15" s="247"/>
    </row>
    <row r="16" spans="1:11" s="41" customFormat="1" ht="14.25" customHeight="1">
      <c r="A16" s="595" t="s">
        <v>53</v>
      </c>
      <c r="B16" s="115" t="s">
        <v>285</v>
      </c>
      <c r="C16" s="204">
        <v>152</v>
      </c>
      <c r="D16" s="204">
        <v>149</v>
      </c>
      <c r="E16" s="204">
        <v>3</v>
      </c>
      <c r="F16" s="170">
        <v>997625</v>
      </c>
      <c r="G16" s="170">
        <v>7300</v>
      </c>
      <c r="H16" s="205">
        <v>990325</v>
      </c>
      <c r="J16" s="247"/>
      <c r="K16" s="247"/>
    </row>
    <row r="17" spans="1:11" s="41" customFormat="1" ht="14.25" customHeight="1">
      <c r="A17" s="595"/>
      <c r="B17" s="115" t="s">
        <v>286</v>
      </c>
      <c r="C17" s="204">
        <v>179</v>
      </c>
      <c r="D17" s="204">
        <v>160</v>
      </c>
      <c r="E17" s="204">
        <v>19</v>
      </c>
      <c r="F17" s="170">
        <v>981991</v>
      </c>
      <c r="G17" s="170">
        <v>10799</v>
      </c>
      <c r="H17" s="205">
        <v>971192</v>
      </c>
      <c r="J17" s="247"/>
      <c r="K17" s="247"/>
    </row>
    <row r="18" spans="1:11" s="41" customFormat="1" ht="14.25" customHeight="1">
      <c r="A18" s="595" t="s">
        <v>54</v>
      </c>
      <c r="B18" s="115" t="s">
        <v>285</v>
      </c>
      <c r="C18" s="204">
        <v>295</v>
      </c>
      <c r="D18" s="204">
        <v>259</v>
      </c>
      <c r="E18" s="204">
        <v>36</v>
      </c>
      <c r="F18" s="170">
        <v>1102028</v>
      </c>
      <c r="G18" s="170">
        <v>31016</v>
      </c>
      <c r="H18" s="205">
        <v>1071012</v>
      </c>
      <c r="J18" s="247"/>
      <c r="K18" s="247"/>
    </row>
    <row r="19" spans="1:11" s="41" customFormat="1" ht="14.25" customHeight="1">
      <c r="A19" s="595"/>
      <c r="B19" s="115" t="s">
        <v>286</v>
      </c>
      <c r="C19" s="204">
        <v>235</v>
      </c>
      <c r="D19" s="204">
        <v>226</v>
      </c>
      <c r="E19" s="204">
        <v>9</v>
      </c>
      <c r="F19" s="170">
        <v>1126647</v>
      </c>
      <c r="G19" s="170">
        <v>29124</v>
      </c>
      <c r="H19" s="205">
        <v>1097523</v>
      </c>
      <c r="J19" s="247"/>
      <c r="K19" s="247"/>
    </row>
    <row r="20" spans="1:11" s="41" customFormat="1" ht="14.25" customHeight="1">
      <c r="A20" s="595" t="s">
        <v>55</v>
      </c>
      <c r="B20" s="115" t="s">
        <v>285</v>
      </c>
      <c r="C20" s="204">
        <v>323</v>
      </c>
      <c r="D20" s="204">
        <v>294</v>
      </c>
      <c r="E20" s="204">
        <v>29</v>
      </c>
      <c r="F20" s="170">
        <v>2479856</v>
      </c>
      <c r="G20" s="170">
        <v>5000</v>
      </c>
      <c r="H20" s="205">
        <v>2474856</v>
      </c>
      <c r="J20" s="247"/>
      <c r="K20" s="247"/>
    </row>
    <row r="21" spans="1:11" s="41" customFormat="1" ht="14.25" customHeight="1">
      <c r="A21" s="595"/>
      <c r="B21" s="115" t="s">
        <v>286</v>
      </c>
      <c r="C21" s="204">
        <v>338</v>
      </c>
      <c r="D21" s="204">
        <v>268</v>
      </c>
      <c r="E21" s="204">
        <v>70</v>
      </c>
      <c r="F21" s="170">
        <v>2447602</v>
      </c>
      <c r="G21" s="170">
        <v>23988</v>
      </c>
      <c r="H21" s="205">
        <v>2423614</v>
      </c>
      <c r="J21" s="247"/>
      <c r="K21" s="247"/>
    </row>
    <row r="22" spans="1:11" s="41" customFormat="1" ht="14.25" customHeight="1">
      <c r="A22" s="595" t="s">
        <v>56</v>
      </c>
      <c r="B22" s="115" t="s">
        <v>285</v>
      </c>
      <c r="C22" s="204">
        <v>114</v>
      </c>
      <c r="D22" s="204">
        <v>88</v>
      </c>
      <c r="E22" s="204">
        <v>26</v>
      </c>
      <c r="F22" s="170">
        <v>225618</v>
      </c>
      <c r="G22" s="170" t="s">
        <v>1074</v>
      </c>
      <c r="H22" s="205">
        <v>225618</v>
      </c>
      <c r="J22" s="247"/>
      <c r="K22" s="247"/>
    </row>
    <row r="23" spans="1:11" s="41" customFormat="1" ht="14.25" customHeight="1">
      <c r="A23" s="595"/>
      <c r="B23" s="115" t="s">
        <v>286</v>
      </c>
      <c r="C23" s="204">
        <v>104</v>
      </c>
      <c r="D23" s="204">
        <v>79</v>
      </c>
      <c r="E23" s="204">
        <v>25</v>
      </c>
      <c r="F23" s="170">
        <v>223471</v>
      </c>
      <c r="G23" s="170" t="s">
        <v>1213</v>
      </c>
      <c r="H23" s="205">
        <v>223471</v>
      </c>
      <c r="J23" s="247"/>
      <c r="K23" s="247"/>
    </row>
    <row r="24" spans="1:11" s="41" customFormat="1" ht="14.25" customHeight="1">
      <c r="A24" s="595" t="s">
        <v>57</v>
      </c>
      <c r="B24" s="115" t="s">
        <v>285</v>
      </c>
      <c r="C24" s="204">
        <v>250</v>
      </c>
      <c r="D24" s="204">
        <v>198</v>
      </c>
      <c r="E24" s="204">
        <v>52</v>
      </c>
      <c r="F24" s="170">
        <v>812311</v>
      </c>
      <c r="G24" s="170">
        <v>32403</v>
      </c>
      <c r="H24" s="205">
        <v>779908</v>
      </c>
      <c r="J24" s="247"/>
      <c r="K24" s="247"/>
    </row>
    <row r="25" spans="1:11" s="41" customFormat="1" ht="14.25" customHeight="1">
      <c r="A25" s="595"/>
      <c r="B25" s="115" t="s">
        <v>286</v>
      </c>
      <c r="C25" s="204">
        <v>263</v>
      </c>
      <c r="D25" s="204">
        <v>210</v>
      </c>
      <c r="E25" s="204">
        <v>53</v>
      </c>
      <c r="F25" s="170">
        <v>927871</v>
      </c>
      <c r="G25" s="170">
        <v>1000</v>
      </c>
      <c r="H25" s="205">
        <v>926871</v>
      </c>
      <c r="J25" s="247"/>
      <c r="K25" s="247"/>
    </row>
    <row r="26" spans="1:11" s="41" customFormat="1" ht="14.25" customHeight="1">
      <c r="A26" s="595" t="s">
        <v>58</v>
      </c>
      <c r="B26" s="115" t="s">
        <v>285</v>
      </c>
      <c r="C26" s="204">
        <v>43</v>
      </c>
      <c r="D26" s="204">
        <v>20</v>
      </c>
      <c r="E26" s="204">
        <v>23</v>
      </c>
      <c r="F26" s="170">
        <v>230971</v>
      </c>
      <c r="G26" s="170">
        <v>14200</v>
      </c>
      <c r="H26" s="205">
        <v>216771</v>
      </c>
      <c r="J26" s="247"/>
      <c r="K26" s="247"/>
    </row>
    <row r="27" spans="1:11" s="41" customFormat="1" ht="14.25" customHeight="1">
      <c r="A27" s="595"/>
      <c r="B27" s="115" t="s">
        <v>286</v>
      </c>
      <c r="C27" s="204">
        <v>69</v>
      </c>
      <c r="D27" s="204">
        <v>37</v>
      </c>
      <c r="E27" s="204">
        <v>32</v>
      </c>
      <c r="F27" s="170">
        <v>471179</v>
      </c>
      <c r="G27" s="170">
        <v>15200</v>
      </c>
      <c r="H27" s="205">
        <v>455979</v>
      </c>
      <c r="J27" s="247"/>
      <c r="K27" s="247"/>
    </row>
    <row r="28" spans="1:11" s="41" customFormat="1" ht="14.25" customHeight="1">
      <c r="A28" s="595" t="s">
        <v>59</v>
      </c>
      <c r="B28" s="115" t="s">
        <v>285</v>
      </c>
      <c r="C28" s="204">
        <v>207</v>
      </c>
      <c r="D28" s="204">
        <v>190</v>
      </c>
      <c r="E28" s="204">
        <v>17</v>
      </c>
      <c r="F28" s="170">
        <v>879387</v>
      </c>
      <c r="G28" s="170">
        <v>10100</v>
      </c>
      <c r="H28" s="205">
        <v>869287</v>
      </c>
      <c r="J28" s="247"/>
      <c r="K28" s="247"/>
    </row>
    <row r="29" spans="1:11" s="41" customFormat="1" ht="14.25" customHeight="1">
      <c r="A29" s="595"/>
      <c r="B29" s="115" t="s">
        <v>286</v>
      </c>
      <c r="C29" s="204">
        <v>229</v>
      </c>
      <c r="D29" s="204">
        <v>212</v>
      </c>
      <c r="E29" s="204">
        <v>17</v>
      </c>
      <c r="F29" s="170">
        <v>1092404</v>
      </c>
      <c r="G29" s="170">
        <v>8000</v>
      </c>
      <c r="H29" s="205">
        <v>1084404</v>
      </c>
      <c r="J29" s="247"/>
      <c r="K29" s="247"/>
    </row>
    <row r="30" spans="1:11" s="41" customFormat="1" ht="14.25" customHeight="1">
      <c r="A30" s="595" t="s">
        <v>60</v>
      </c>
      <c r="B30" s="115" t="s">
        <v>285</v>
      </c>
      <c r="C30" s="204">
        <v>614</v>
      </c>
      <c r="D30" s="204">
        <v>477</v>
      </c>
      <c r="E30" s="204">
        <v>137</v>
      </c>
      <c r="F30" s="170">
        <v>3164860</v>
      </c>
      <c r="G30" s="170">
        <v>151075</v>
      </c>
      <c r="H30" s="205">
        <v>3013785</v>
      </c>
      <c r="J30" s="247"/>
      <c r="K30" s="247"/>
    </row>
    <row r="31" spans="1:11" s="41" customFormat="1" ht="14.25" customHeight="1">
      <c r="A31" s="595"/>
      <c r="B31" s="115" t="s">
        <v>286</v>
      </c>
      <c r="C31" s="204">
        <v>758</v>
      </c>
      <c r="D31" s="204">
        <v>621</v>
      </c>
      <c r="E31" s="204">
        <v>137</v>
      </c>
      <c r="F31" s="170">
        <v>2541627</v>
      </c>
      <c r="G31" s="170">
        <v>12579</v>
      </c>
      <c r="H31" s="205">
        <v>2529048</v>
      </c>
      <c r="J31" s="247"/>
      <c r="K31" s="247"/>
    </row>
    <row r="32" spans="1:11" s="41" customFormat="1" ht="14.25" customHeight="1">
      <c r="A32" s="595" t="s">
        <v>61</v>
      </c>
      <c r="B32" s="115" t="s">
        <v>285</v>
      </c>
      <c r="C32" s="204">
        <v>66</v>
      </c>
      <c r="D32" s="204">
        <v>27</v>
      </c>
      <c r="E32" s="204">
        <v>39</v>
      </c>
      <c r="F32" s="170">
        <v>395180</v>
      </c>
      <c r="G32" s="170">
        <v>8800</v>
      </c>
      <c r="H32" s="205">
        <v>386380</v>
      </c>
      <c r="J32" s="247"/>
      <c r="K32" s="247"/>
    </row>
    <row r="33" spans="1:11" s="41" customFormat="1" ht="14.25" customHeight="1">
      <c r="A33" s="595"/>
      <c r="B33" s="115" t="s">
        <v>286</v>
      </c>
      <c r="C33" s="204">
        <v>70</v>
      </c>
      <c r="D33" s="204">
        <v>31</v>
      </c>
      <c r="E33" s="204">
        <v>39</v>
      </c>
      <c r="F33" s="170">
        <v>424891</v>
      </c>
      <c r="G33" s="170">
        <v>9000</v>
      </c>
      <c r="H33" s="205">
        <v>415891</v>
      </c>
      <c r="J33" s="247"/>
      <c r="K33" s="247"/>
    </row>
    <row r="34" spans="1:11" s="41" customFormat="1" ht="14.25" customHeight="1">
      <c r="A34" s="595" t="s">
        <v>62</v>
      </c>
      <c r="B34" s="115" t="s">
        <v>285</v>
      </c>
      <c r="C34" s="204">
        <v>79</v>
      </c>
      <c r="D34" s="204">
        <v>40</v>
      </c>
      <c r="E34" s="204">
        <v>39</v>
      </c>
      <c r="F34" s="170">
        <v>98759</v>
      </c>
      <c r="G34" s="170" t="s">
        <v>1074</v>
      </c>
      <c r="H34" s="205">
        <v>98759</v>
      </c>
      <c r="J34" s="247"/>
      <c r="K34" s="247"/>
    </row>
    <row r="35" spans="1:11" s="41" customFormat="1" ht="14.25" customHeight="1">
      <c r="A35" s="595"/>
      <c r="B35" s="115" t="s">
        <v>286</v>
      </c>
      <c r="C35" s="204">
        <v>103</v>
      </c>
      <c r="D35" s="204">
        <v>57</v>
      </c>
      <c r="E35" s="204">
        <v>46</v>
      </c>
      <c r="F35" s="170">
        <v>189432</v>
      </c>
      <c r="G35" s="170">
        <v>2657</v>
      </c>
      <c r="H35" s="205">
        <v>186775</v>
      </c>
      <c r="J35" s="247"/>
      <c r="K35" s="247"/>
    </row>
    <row r="36" spans="1:11" s="41" customFormat="1" ht="14.25" customHeight="1">
      <c r="A36" s="595" t="s">
        <v>63</v>
      </c>
      <c r="B36" s="115" t="s">
        <v>285</v>
      </c>
      <c r="C36" s="204">
        <v>224</v>
      </c>
      <c r="D36" s="204">
        <v>151</v>
      </c>
      <c r="E36" s="204">
        <v>73</v>
      </c>
      <c r="F36" s="170">
        <v>1553553</v>
      </c>
      <c r="G36" s="170">
        <v>15500</v>
      </c>
      <c r="H36" s="205">
        <v>1538053</v>
      </c>
      <c r="J36" s="247"/>
      <c r="K36" s="247"/>
    </row>
    <row r="37" spans="1:11" s="41" customFormat="1" ht="14.25" customHeight="1">
      <c r="A37" s="595"/>
      <c r="B37" s="115" t="s">
        <v>286</v>
      </c>
      <c r="C37" s="204">
        <v>319</v>
      </c>
      <c r="D37" s="204">
        <v>226</v>
      </c>
      <c r="E37" s="204">
        <v>93</v>
      </c>
      <c r="F37" s="170">
        <v>1501365</v>
      </c>
      <c r="G37" s="170">
        <v>33034</v>
      </c>
      <c r="H37" s="205">
        <v>1468331</v>
      </c>
      <c r="J37" s="247"/>
      <c r="K37" s="247"/>
    </row>
    <row r="38" spans="1:11" s="41" customFormat="1" ht="14.25" customHeight="1">
      <c r="A38" s="595" t="s">
        <v>64</v>
      </c>
      <c r="B38" s="115" t="s">
        <v>285</v>
      </c>
      <c r="C38" s="204">
        <v>153</v>
      </c>
      <c r="D38" s="204">
        <v>119</v>
      </c>
      <c r="E38" s="204">
        <v>34</v>
      </c>
      <c r="F38" s="170">
        <v>811198</v>
      </c>
      <c r="G38" s="170">
        <v>1100</v>
      </c>
      <c r="H38" s="205">
        <v>810098</v>
      </c>
      <c r="J38" s="247"/>
      <c r="K38" s="247"/>
    </row>
    <row r="39" spans="1:11" s="41" customFormat="1" ht="14.25" customHeight="1">
      <c r="A39" s="595"/>
      <c r="B39" s="115" t="s">
        <v>286</v>
      </c>
      <c r="C39" s="204">
        <v>139</v>
      </c>
      <c r="D39" s="204">
        <v>105</v>
      </c>
      <c r="E39" s="204">
        <v>34</v>
      </c>
      <c r="F39" s="170">
        <v>639239</v>
      </c>
      <c r="G39" s="170">
        <v>6200</v>
      </c>
      <c r="H39" s="205">
        <v>633039</v>
      </c>
      <c r="J39" s="247"/>
      <c r="K39" s="247"/>
    </row>
    <row r="40" spans="1:11" ht="13.5" customHeight="1">
      <c r="A40" s="60"/>
      <c r="B40" s="60"/>
      <c r="C40" s="60"/>
      <c r="D40" s="60"/>
      <c r="E40" s="60"/>
      <c r="F40" s="60"/>
      <c r="G40" s="60"/>
      <c r="H40" s="60"/>
    </row>
    <row r="41" spans="1:11">
      <c r="A41" s="60"/>
      <c r="B41" s="60"/>
      <c r="C41" s="241"/>
      <c r="D41" s="241"/>
      <c r="E41" s="241"/>
      <c r="F41" s="241"/>
      <c r="G41" s="241"/>
      <c r="H41" s="241"/>
      <c r="I41" s="241"/>
      <c r="J41" s="241"/>
      <c r="K41" s="241"/>
    </row>
    <row r="42" spans="1:11">
      <c r="A42" s="60"/>
      <c r="B42" s="60"/>
      <c r="C42" s="241"/>
      <c r="D42" s="241"/>
      <c r="E42" s="241"/>
      <c r="F42" s="241"/>
      <c r="G42" s="241"/>
      <c r="H42" s="241"/>
      <c r="I42" s="241"/>
      <c r="J42" s="241"/>
      <c r="K42" s="241"/>
    </row>
    <row r="43" spans="1:11">
      <c r="A43" s="60"/>
      <c r="B43" s="60"/>
      <c r="C43" s="60"/>
      <c r="D43" s="60"/>
      <c r="E43" s="60"/>
      <c r="F43" s="60"/>
      <c r="G43" s="60"/>
      <c r="H43" s="60"/>
    </row>
    <row r="44" spans="1:11">
      <c r="A44" s="60"/>
      <c r="B44" s="60"/>
      <c r="C44" s="241"/>
      <c r="D44" s="241"/>
      <c r="E44" s="241"/>
      <c r="F44" s="241"/>
      <c r="G44" s="241"/>
      <c r="H44" s="241"/>
    </row>
    <row r="45" spans="1:11">
      <c r="A45" s="60"/>
      <c r="B45" s="60"/>
      <c r="C45" s="241"/>
      <c r="D45" s="241"/>
      <c r="E45" s="241"/>
      <c r="F45" s="241"/>
      <c r="G45" s="241"/>
      <c r="H45" s="241"/>
    </row>
    <row r="46" spans="1:11">
      <c r="A46" s="60"/>
      <c r="B46" s="60"/>
      <c r="C46" s="60"/>
      <c r="D46" s="60"/>
      <c r="E46" s="60"/>
      <c r="F46" s="60"/>
      <c r="G46" s="60"/>
      <c r="H46" s="60"/>
    </row>
    <row r="47" spans="1:11">
      <c r="A47" s="60"/>
      <c r="B47" s="60"/>
      <c r="C47" s="60"/>
      <c r="D47" s="60"/>
      <c r="E47" s="60"/>
      <c r="F47" s="60"/>
      <c r="G47" s="60"/>
      <c r="H47" s="60"/>
    </row>
    <row r="48" spans="1:11">
      <c r="A48" s="60"/>
      <c r="B48" s="60"/>
      <c r="C48" s="60"/>
      <c r="D48" s="60"/>
      <c r="E48" s="60"/>
      <c r="F48" s="60"/>
      <c r="G48" s="60"/>
      <c r="H48" s="60"/>
    </row>
    <row r="49" spans="1:8">
      <c r="A49" s="60"/>
      <c r="B49" s="60"/>
      <c r="C49" s="60"/>
      <c r="D49" s="60"/>
      <c r="E49" s="60"/>
      <c r="F49" s="60"/>
      <c r="G49" s="60"/>
      <c r="H49" s="60"/>
    </row>
    <row r="50" spans="1:8">
      <c r="A50" s="60"/>
      <c r="B50" s="60"/>
      <c r="C50" s="60"/>
      <c r="D50" s="60"/>
      <c r="E50" s="60"/>
      <c r="F50" s="60"/>
      <c r="G50" s="60"/>
      <c r="H50" s="60"/>
    </row>
    <row r="51" spans="1:8">
      <c r="A51" s="60"/>
      <c r="B51" s="60"/>
      <c r="C51" s="60"/>
      <c r="D51" s="60"/>
      <c r="E51" s="60"/>
      <c r="F51" s="60"/>
      <c r="G51" s="60"/>
      <c r="H51" s="60"/>
    </row>
    <row r="52" spans="1:8">
      <c r="A52" s="60"/>
      <c r="B52" s="60"/>
      <c r="C52" s="60"/>
      <c r="D52" s="60"/>
      <c r="E52" s="60"/>
      <c r="F52" s="60"/>
      <c r="G52" s="60"/>
      <c r="H52" s="60"/>
    </row>
  </sheetData>
  <mergeCells count="23">
    <mergeCell ref="A34:A35"/>
    <mergeCell ref="A36:A37"/>
    <mergeCell ref="A38:A39"/>
    <mergeCell ref="A22:A23"/>
    <mergeCell ref="A24:A25"/>
    <mergeCell ref="A26:A27"/>
    <mergeCell ref="A28:A29"/>
    <mergeCell ref="A30:A31"/>
    <mergeCell ref="A32:A33"/>
    <mergeCell ref="A1:H1"/>
    <mergeCell ref="A2:H2"/>
    <mergeCell ref="A20:A21"/>
    <mergeCell ref="G3:H3"/>
    <mergeCell ref="A4:B5"/>
    <mergeCell ref="C4:E4"/>
    <mergeCell ref="F4:H4"/>
    <mergeCell ref="A6:A7"/>
    <mergeCell ref="A8:A9"/>
    <mergeCell ref="A10:A11"/>
    <mergeCell ref="A12:A13"/>
    <mergeCell ref="A14:A15"/>
    <mergeCell ref="A16:A17"/>
    <mergeCell ref="A18:A19"/>
  </mergeCells>
  <hyperlinks>
    <hyperlink ref="G3" location="'Spis tablic'!A4" display="Powrót do spisu treści" xr:uid="{00000000-0004-0000-3400-000000000000}"/>
    <hyperlink ref="G3:H3" location="'Spis tablic  List of tables'!A77" display="'Spis tablic  List of tables'!A77" xr:uid="{00000000-0004-0000-3400-000001000000}"/>
  </hyperlink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Arkusz33"/>
  <dimension ref="A1:K43"/>
  <sheetViews>
    <sheetView zoomScaleNormal="100" workbookViewId="0">
      <pane ySplit="6" topLeftCell="A7" activePane="bottomLeft" state="frozen"/>
      <selection activeCell="V29" sqref="V29"/>
      <selection pane="bottomLeft" activeCell="H3" sqref="H3:I3"/>
    </sheetView>
  </sheetViews>
  <sheetFormatPr defaultColWidth="9.1796875" defaultRowHeight="14.5"/>
  <cols>
    <col min="1" max="1" width="19.453125" style="50" customWidth="1"/>
    <col min="2" max="2" width="5.453125" style="50" customWidth="1"/>
    <col min="3" max="9" width="10.7265625" style="50" customWidth="1"/>
    <col min="10" max="16384" width="9.1796875" style="50"/>
  </cols>
  <sheetData>
    <row r="1" spans="1:11" s="39" customFormat="1" ht="19.5" customHeight="1">
      <c r="A1" s="574" t="s">
        <v>1368</v>
      </c>
      <c r="B1" s="574"/>
      <c r="C1" s="574"/>
      <c r="D1" s="574"/>
      <c r="E1" s="574"/>
      <c r="F1" s="574"/>
      <c r="G1" s="574"/>
      <c r="H1" s="574"/>
      <c r="I1" s="574"/>
      <c r="J1" s="64"/>
      <c r="K1" s="64"/>
    </row>
    <row r="2" spans="1:11" s="39" customFormat="1" ht="14.25" customHeight="1">
      <c r="A2" s="556" t="s">
        <v>934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</row>
    <row r="3" spans="1:11" s="39" customFormat="1" ht="26.5" customHeight="1">
      <c r="A3" s="74"/>
      <c r="B3" s="74"/>
      <c r="C3" s="74"/>
      <c r="D3" s="74"/>
      <c r="E3" s="74"/>
      <c r="F3" s="74"/>
      <c r="G3" s="74"/>
      <c r="H3" s="537" t="s">
        <v>5</v>
      </c>
      <c r="I3" s="547"/>
      <c r="J3" s="74"/>
      <c r="K3" s="74"/>
    </row>
    <row r="4" spans="1:11" s="41" customFormat="1" ht="32.25" customHeight="1">
      <c r="A4" s="573" t="s">
        <v>1191</v>
      </c>
      <c r="B4" s="643"/>
      <c r="C4" s="569" t="s">
        <v>351</v>
      </c>
      <c r="D4" s="569" t="s">
        <v>352</v>
      </c>
      <c r="E4" s="569" t="s">
        <v>36</v>
      </c>
      <c r="F4" s="569"/>
      <c r="G4" s="569"/>
      <c r="H4" s="569" t="s">
        <v>353</v>
      </c>
      <c r="I4" s="543" t="s">
        <v>354</v>
      </c>
    </row>
    <row r="5" spans="1:11" s="41" customFormat="1" ht="32.25" customHeight="1">
      <c r="A5" s="573"/>
      <c r="B5" s="643"/>
      <c r="C5" s="569"/>
      <c r="D5" s="569"/>
      <c r="E5" s="569" t="s">
        <v>80</v>
      </c>
      <c r="F5" s="543" t="s">
        <v>355</v>
      </c>
      <c r="G5" s="624"/>
      <c r="H5" s="569"/>
      <c r="I5" s="607"/>
    </row>
    <row r="6" spans="1:11" s="41" customFormat="1" ht="63.75" customHeight="1">
      <c r="A6" s="548"/>
      <c r="B6" s="644"/>
      <c r="C6" s="539"/>
      <c r="D6" s="539"/>
      <c r="E6" s="539"/>
      <c r="F6" s="131" t="s">
        <v>356</v>
      </c>
      <c r="G6" s="131" t="s">
        <v>1373</v>
      </c>
      <c r="H6" s="539"/>
      <c r="I6" s="657"/>
      <c r="K6" s="48"/>
    </row>
    <row r="7" spans="1:11" s="41" customFormat="1" ht="14.25" customHeight="1">
      <c r="A7" s="593" t="s">
        <v>298</v>
      </c>
      <c r="B7" s="115" t="s">
        <v>285</v>
      </c>
      <c r="C7" s="170">
        <v>180</v>
      </c>
      <c r="D7" s="170">
        <v>49140</v>
      </c>
      <c r="E7" s="170">
        <v>37880</v>
      </c>
      <c r="F7" s="170">
        <v>17283</v>
      </c>
      <c r="G7" s="170">
        <v>7422</v>
      </c>
      <c r="H7" s="170">
        <v>1284</v>
      </c>
      <c r="I7" s="171">
        <v>67073</v>
      </c>
    </row>
    <row r="8" spans="1:11" s="41" customFormat="1" ht="14.25" customHeight="1">
      <c r="A8" s="593"/>
      <c r="B8" s="52" t="s">
        <v>286</v>
      </c>
      <c r="C8" s="222">
        <v>184</v>
      </c>
      <c r="D8" s="222">
        <v>70553</v>
      </c>
      <c r="E8" s="222">
        <v>51810</v>
      </c>
      <c r="F8" s="222">
        <v>23279</v>
      </c>
      <c r="G8" s="222">
        <v>9080</v>
      </c>
      <c r="H8" s="222">
        <v>1647</v>
      </c>
      <c r="I8" s="206">
        <v>110032</v>
      </c>
    </row>
    <row r="9" spans="1:11" s="41" customFormat="1" ht="14.25" customHeight="1">
      <c r="A9" s="594" t="s">
        <v>49</v>
      </c>
      <c r="B9" s="115" t="s">
        <v>285</v>
      </c>
      <c r="C9" s="170">
        <v>15</v>
      </c>
      <c r="D9" s="170">
        <v>3191</v>
      </c>
      <c r="E9" s="170">
        <v>2074</v>
      </c>
      <c r="F9" s="170">
        <v>1023</v>
      </c>
      <c r="G9" s="170">
        <v>539</v>
      </c>
      <c r="H9" s="170">
        <v>68</v>
      </c>
      <c r="I9" s="171">
        <v>6119</v>
      </c>
    </row>
    <row r="10" spans="1:11" s="41" customFormat="1" ht="14.25" customHeight="1">
      <c r="A10" s="594"/>
      <c r="B10" s="115" t="s">
        <v>286</v>
      </c>
      <c r="C10" s="170">
        <v>15</v>
      </c>
      <c r="D10" s="170">
        <v>4598</v>
      </c>
      <c r="E10" s="170">
        <v>2768</v>
      </c>
      <c r="F10" s="170">
        <v>1145</v>
      </c>
      <c r="G10" s="170">
        <v>211</v>
      </c>
      <c r="H10" s="170">
        <v>120</v>
      </c>
      <c r="I10" s="171">
        <v>4602</v>
      </c>
    </row>
    <row r="11" spans="1:11" s="41" customFormat="1" ht="14.25" customHeight="1">
      <c r="A11" s="594" t="s">
        <v>50</v>
      </c>
      <c r="B11" s="115" t="s">
        <v>285</v>
      </c>
      <c r="C11" s="170">
        <v>7</v>
      </c>
      <c r="D11" s="170">
        <v>1545</v>
      </c>
      <c r="E11" s="170">
        <v>1217</v>
      </c>
      <c r="F11" s="170">
        <v>457</v>
      </c>
      <c r="G11" s="170">
        <v>154</v>
      </c>
      <c r="H11" s="170">
        <v>92</v>
      </c>
      <c r="I11" s="171">
        <v>1825</v>
      </c>
    </row>
    <row r="12" spans="1:11" s="41" customFormat="1" ht="14.25" customHeight="1">
      <c r="A12" s="594"/>
      <c r="B12" s="115" t="s">
        <v>286</v>
      </c>
      <c r="C12" s="170">
        <v>6</v>
      </c>
      <c r="D12" s="170">
        <v>2202</v>
      </c>
      <c r="E12" s="170">
        <v>1575</v>
      </c>
      <c r="F12" s="170">
        <v>589</v>
      </c>
      <c r="G12" s="170">
        <v>91</v>
      </c>
      <c r="H12" s="170">
        <v>114</v>
      </c>
      <c r="I12" s="171">
        <v>2667</v>
      </c>
    </row>
    <row r="13" spans="1:11" s="41" customFormat="1" ht="14.25" customHeight="1">
      <c r="A13" s="594" t="s">
        <v>51</v>
      </c>
      <c r="B13" s="115" t="s">
        <v>285</v>
      </c>
      <c r="C13" s="170">
        <v>12</v>
      </c>
      <c r="D13" s="170">
        <v>3801</v>
      </c>
      <c r="E13" s="170">
        <v>2958</v>
      </c>
      <c r="F13" s="170">
        <v>1246</v>
      </c>
      <c r="G13" s="170">
        <v>551</v>
      </c>
      <c r="H13" s="170">
        <v>104</v>
      </c>
      <c r="I13" s="171">
        <v>12046</v>
      </c>
    </row>
    <row r="14" spans="1:11" s="41" customFormat="1" ht="14.25" customHeight="1">
      <c r="A14" s="594"/>
      <c r="B14" s="115" t="s">
        <v>286</v>
      </c>
      <c r="C14" s="170">
        <v>12</v>
      </c>
      <c r="D14" s="170">
        <v>5230</v>
      </c>
      <c r="E14" s="170">
        <v>3237</v>
      </c>
      <c r="F14" s="170">
        <v>1418</v>
      </c>
      <c r="G14" s="170">
        <v>979</v>
      </c>
      <c r="H14" s="170">
        <v>193</v>
      </c>
      <c r="I14" s="171">
        <v>27810</v>
      </c>
    </row>
    <row r="15" spans="1:11" s="41" customFormat="1" ht="14.25" customHeight="1">
      <c r="A15" s="594" t="s">
        <v>52</v>
      </c>
      <c r="B15" s="115" t="s">
        <v>285</v>
      </c>
      <c r="C15" s="170">
        <v>4</v>
      </c>
      <c r="D15" s="170">
        <v>1409</v>
      </c>
      <c r="E15" s="170">
        <v>967</v>
      </c>
      <c r="F15" s="170">
        <v>498</v>
      </c>
      <c r="G15" s="170">
        <v>346</v>
      </c>
      <c r="H15" s="170">
        <v>13</v>
      </c>
      <c r="I15" s="171">
        <v>4063</v>
      </c>
    </row>
    <row r="16" spans="1:11" s="41" customFormat="1" ht="14.25" customHeight="1">
      <c r="A16" s="594"/>
      <c r="B16" s="115" t="s">
        <v>286</v>
      </c>
      <c r="C16" s="170">
        <v>3</v>
      </c>
      <c r="D16" s="170">
        <v>2671</v>
      </c>
      <c r="E16" s="170">
        <v>1428</v>
      </c>
      <c r="F16" s="170">
        <v>658</v>
      </c>
      <c r="G16" s="170">
        <v>703</v>
      </c>
      <c r="H16" s="170">
        <v>120</v>
      </c>
      <c r="I16" s="171">
        <v>10000</v>
      </c>
    </row>
    <row r="17" spans="1:9" s="41" customFormat="1" ht="14.25" customHeight="1">
      <c r="A17" s="594" t="s">
        <v>53</v>
      </c>
      <c r="B17" s="115" t="s">
        <v>285</v>
      </c>
      <c r="C17" s="170">
        <v>7</v>
      </c>
      <c r="D17" s="170">
        <v>2478</v>
      </c>
      <c r="E17" s="170">
        <v>2256</v>
      </c>
      <c r="F17" s="170">
        <v>961</v>
      </c>
      <c r="G17" s="170">
        <v>184</v>
      </c>
      <c r="H17" s="171">
        <v>17</v>
      </c>
      <c r="I17" s="171">
        <v>1876</v>
      </c>
    </row>
    <row r="18" spans="1:9" s="41" customFormat="1" ht="14.25" customHeight="1">
      <c r="A18" s="594"/>
      <c r="B18" s="115" t="s">
        <v>286</v>
      </c>
      <c r="C18" s="170">
        <v>8</v>
      </c>
      <c r="D18" s="170">
        <v>3359</v>
      </c>
      <c r="E18" s="170">
        <v>2721</v>
      </c>
      <c r="F18" s="170">
        <v>1231</v>
      </c>
      <c r="G18" s="170">
        <v>249</v>
      </c>
      <c r="H18" s="171">
        <v>28</v>
      </c>
      <c r="I18" s="171">
        <v>3732</v>
      </c>
    </row>
    <row r="19" spans="1:9" s="41" customFormat="1" ht="14.25" customHeight="1">
      <c r="A19" s="594" t="s">
        <v>54</v>
      </c>
      <c r="B19" s="115" t="s">
        <v>285</v>
      </c>
      <c r="C19" s="170">
        <v>15</v>
      </c>
      <c r="D19" s="170">
        <v>6155</v>
      </c>
      <c r="E19" s="170">
        <v>4899</v>
      </c>
      <c r="F19" s="170">
        <v>2237</v>
      </c>
      <c r="G19" s="170">
        <v>381</v>
      </c>
      <c r="H19" s="170">
        <v>62</v>
      </c>
      <c r="I19" s="171">
        <v>4671</v>
      </c>
    </row>
    <row r="20" spans="1:9" s="41" customFormat="1" ht="14.25" customHeight="1">
      <c r="A20" s="594"/>
      <c r="B20" s="115" t="s">
        <v>286</v>
      </c>
      <c r="C20" s="170">
        <v>14</v>
      </c>
      <c r="D20" s="170">
        <v>8303</v>
      </c>
      <c r="E20" s="170">
        <v>6922</v>
      </c>
      <c r="F20" s="170">
        <v>3007</v>
      </c>
      <c r="G20" s="170">
        <v>495</v>
      </c>
      <c r="H20" s="170">
        <v>70</v>
      </c>
      <c r="I20" s="171">
        <v>6515</v>
      </c>
    </row>
    <row r="21" spans="1:9" s="41" customFormat="1" ht="14.25" customHeight="1">
      <c r="A21" s="594" t="s">
        <v>55</v>
      </c>
      <c r="B21" s="115" t="s">
        <v>285</v>
      </c>
      <c r="C21" s="170">
        <v>27</v>
      </c>
      <c r="D21" s="170">
        <v>9043</v>
      </c>
      <c r="E21" s="170">
        <v>6705</v>
      </c>
      <c r="F21" s="170">
        <v>3112</v>
      </c>
      <c r="G21" s="170">
        <v>1999</v>
      </c>
      <c r="H21" s="170">
        <v>200</v>
      </c>
      <c r="I21" s="171">
        <v>7959</v>
      </c>
    </row>
    <row r="22" spans="1:9" s="41" customFormat="1" ht="14.25" customHeight="1">
      <c r="A22" s="594"/>
      <c r="B22" s="115" t="s">
        <v>286</v>
      </c>
      <c r="C22" s="170">
        <v>30</v>
      </c>
      <c r="D22" s="170">
        <v>13228</v>
      </c>
      <c r="E22" s="170">
        <v>8038</v>
      </c>
      <c r="F22" s="170">
        <v>3696</v>
      </c>
      <c r="G22" s="170">
        <v>1894</v>
      </c>
      <c r="H22" s="170">
        <v>185</v>
      </c>
      <c r="I22" s="171">
        <v>15289</v>
      </c>
    </row>
    <row r="23" spans="1:9" s="41" customFormat="1" ht="14.25" customHeight="1">
      <c r="A23" s="594" t="s">
        <v>56</v>
      </c>
      <c r="B23" s="115" t="s">
        <v>285</v>
      </c>
      <c r="C23" s="170">
        <v>7</v>
      </c>
      <c r="D23" s="170">
        <v>3290</v>
      </c>
      <c r="E23" s="170">
        <v>2386</v>
      </c>
      <c r="F23" s="170">
        <v>1401</v>
      </c>
      <c r="G23" s="170">
        <v>640</v>
      </c>
      <c r="H23" s="170">
        <v>53</v>
      </c>
      <c r="I23" s="171">
        <v>4470</v>
      </c>
    </row>
    <row r="24" spans="1:9" s="41" customFormat="1" ht="14.25" customHeight="1">
      <c r="A24" s="594"/>
      <c r="B24" s="115" t="s">
        <v>286</v>
      </c>
      <c r="C24" s="170">
        <v>7</v>
      </c>
      <c r="D24" s="170">
        <v>4893</v>
      </c>
      <c r="E24" s="170">
        <v>4973</v>
      </c>
      <c r="F24" s="170">
        <v>2870</v>
      </c>
      <c r="G24" s="170">
        <v>1011</v>
      </c>
      <c r="H24" s="170">
        <v>53</v>
      </c>
      <c r="I24" s="171">
        <v>5425</v>
      </c>
    </row>
    <row r="25" spans="1:9" s="41" customFormat="1" ht="14.25" customHeight="1">
      <c r="A25" s="594" t="s">
        <v>57</v>
      </c>
      <c r="B25" s="115" t="s">
        <v>285</v>
      </c>
      <c r="C25" s="170">
        <v>10</v>
      </c>
      <c r="D25" s="170">
        <v>1196</v>
      </c>
      <c r="E25" s="170">
        <v>1105</v>
      </c>
      <c r="F25" s="170">
        <v>386</v>
      </c>
      <c r="G25" s="170">
        <v>161</v>
      </c>
      <c r="H25" s="170">
        <v>45</v>
      </c>
      <c r="I25" s="171">
        <v>2101</v>
      </c>
    </row>
    <row r="26" spans="1:9" s="41" customFormat="1" ht="14.25" customHeight="1">
      <c r="A26" s="594"/>
      <c r="B26" s="115" t="s">
        <v>286</v>
      </c>
      <c r="C26" s="170">
        <v>10</v>
      </c>
      <c r="D26" s="170">
        <v>1870</v>
      </c>
      <c r="E26" s="170">
        <v>1608</v>
      </c>
      <c r="F26" s="170">
        <v>543</v>
      </c>
      <c r="G26" s="170">
        <v>199</v>
      </c>
      <c r="H26" s="170">
        <v>33</v>
      </c>
      <c r="I26" s="171">
        <v>1509</v>
      </c>
    </row>
    <row r="27" spans="1:9" s="41" customFormat="1" ht="14.25" customHeight="1">
      <c r="A27" s="594" t="s">
        <v>58</v>
      </c>
      <c r="B27" s="115" t="s">
        <v>285</v>
      </c>
      <c r="C27" s="170">
        <v>6</v>
      </c>
      <c r="D27" s="170">
        <v>901</v>
      </c>
      <c r="E27" s="170">
        <v>685</v>
      </c>
      <c r="F27" s="170">
        <v>269</v>
      </c>
      <c r="G27" s="170">
        <v>2</v>
      </c>
      <c r="H27" s="170">
        <v>70</v>
      </c>
      <c r="I27" s="171">
        <v>583</v>
      </c>
    </row>
    <row r="28" spans="1:9" s="41" customFormat="1" ht="14.25" customHeight="1">
      <c r="A28" s="594"/>
      <c r="B28" s="115" t="s">
        <v>286</v>
      </c>
      <c r="C28" s="170">
        <v>7</v>
      </c>
      <c r="D28" s="170">
        <v>1560</v>
      </c>
      <c r="E28" s="170">
        <v>984</v>
      </c>
      <c r="F28" s="170">
        <v>391</v>
      </c>
      <c r="G28" s="170">
        <v>3</v>
      </c>
      <c r="H28" s="170">
        <v>64</v>
      </c>
      <c r="I28" s="171">
        <v>993</v>
      </c>
    </row>
    <row r="29" spans="1:9" s="41" customFormat="1" ht="14.25" customHeight="1">
      <c r="A29" s="594" t="s">
        <v>59</v>
      </c>
      <c r="B29" s="115" t="s">
        <v>285</v>
      </c>
      <c r="C29" s="170">
        <v>8</v>
      </c>
      <c r="D29" s="170">
        <v>3581</v>
      </c>
      <c r="E29" s="170">
        <v>2835</v>
      </c>
      <c r="F29" s="170">
        <v>1299</v>
      </c>
      <c r="G29" s="170">
        <v>535</v>
      </c>
      <c r="H29" s="170">
        <v>86</v>
      </c>
      <c r="I29" s="171">
        <v>2754</v>
      </c>
    </row>
    <row r="30" spans="1:9" s="41" customFormat="1" ht="14.25" customHeight="1">
      <c r="A30" s="594"/>
      <c r="B30" s="115" t="s">
        <v>286</v>
      </c>
      <c r="C30" s="170">
        <v>10</v>
      </c>
      <c r="D30" s="170">
        <v>5024</v>
      </c>
      <c r="E30" s="170">
        <v>4126</v>
      </c>
      <c r="F30" s="170">
        <v>1778</v>
      </c>
      <c r="G30" s="170">
        <v>715</v>
      </c>
      <c r="H30" s="170">
        <v>165</v>
      </c>
      <c r="I30" s="171">
        <v>5400</v>
      </c>
    </row>
    <row r="31" spans="1:9" s="41" customFormat="1" ht="14.25" customHeight="1">
      <c r="A31" s="594" t="s">
        <v>60</v>
      </c>
      <c r="B31" s="115" t="s">
        <v>285</v>
      </c>
      <c r="C31" s="170">
        <v>22</v>
      </c>
      <c r="D31" s="170">
        <v>5079</v>
      </c>
      <c r="E31" s="170">
        <v>3434</v>
      </c>
      <c r="F31" s="170">
        <v>1861</v>
      </c>
      <c r="G31" s="170">
        <v>241</v>
      </c>
      <c r="H31" s="170">
        <v>125</v>
      </c>
      <c r="I31" s="171">
        <v>7049</v>
      </c>
    </row>
    <row r="32" spans="1:9" s="133" customFormat="1" ht="14.25" customHeight="1">
      <c r="A32" s="594"/>
      <c r="B32" s="132" t="s">
        <v>286</v>
      </c>
      <c r="C32" s="182">
        <v>23</v>
      </c>
      <c r="D32" s="170">
        <v>7411</v>
      </c>
      <c r="E32" s="182">
        <v>5948</v>
      </c>
      <c r="F32" s="182">
        <v>3115</v>
      </c>
      <c r="G32" s="182">
        <v>513</v>
      </c>
      <c r="H32" s="182">
        <v>120</v>
      </c>
      <c r="I32" s="183">
        <v>7140</v>
      </c>
    </row>
    <row r="33" spans="1:9" s="41" customFormat="1" ht="14.25" customHeight="1">
      <c r="A33" s="594" t="s">
        <v>61</v>
      </c>
      <c r="B33" s="115" t="s">
        <v>285</v>
      </c>
      <c r="C33" s="170">
        <v>4</v>
      </c>
      <c r="D33" s="170">
        <v>170</v>
      </c>
      <c r="E33" s="170">
        <v>306</v>
      </c>
      <c r="F33" s="170">
        <v>47</v>
      </c>
      <c r="G33" s="170">
        <v>101</v>
      </c>
      <c r="H33" s="170">
        <v>13</v>
      </c>
      <c r="I33" s="171">
        <v>827</v>
      </c>
    </row>
    <row r="34" spans="1:9" s="41" customFormat="1" ht="14.25" customHeight="1">
      <c r="A34" s="594"/>
      <c r="B34" s="115" t="s">
        <v>286</v>
      </c>
      <c r="C34" s="170">
        <v>4</v>
      </c>
      <c r="D34" s="182">
        <v>295</v>
      </c>
      <c r="E34" s="170">
        <v>284</v>
      </c>
      <c r="F34" s="170">
        <v>60</v>
      </c>
      <c r="G34" s="170" t="s">
        <v>1213</v>
      </c>
      <c r="H34" s="171">
        <v>37</v>
      </c>
      <c r="I34" s="171">
        <v>2007</v>
      </c>
    </row>
    <row r="35" spans="1:9" s="41" customFormat="1" ht="14.25" customHeight="1">
      <c r="A35" s="594" t="s">
        <v>62</v>
      </c>
      <c r="B35" s="115" t="s">
        <v>285</v>
      </c>
      <c r="C35" s="170">
        <v>4</v>
      </c>
      <c r="D35" s="170">
        <v>437</v>
      </c>
      <c r="E35" s="170">
        <v>537</v>
      </c>
      <c r="F35" s="170">
        <v>158</v>
      </c>
      <c r="G35" s="170">
        <v>303</v>
      </c>
      <c r="H35" s="170">
        <v>14</v>
      </c>
      <c r="I35" s="171">
        <v>1065</v>
      </c>
    </row>
    <row r="36" spans="1:9" s="41" customFormat="1" ht="14.25" customHeight="1">
      <c r="A36" s="594"/>
      <c r="B36" s="115" t="s">
        <v>286</v>
      </c>
      <c r="C36" s="170">
        <v>4</v>
      </c>
      <c r="D36" s="170">
        <v>631</v>
      </c>
      <c r="E36" s="170">
        <v>541</v>
      </c>
      <c r="F36" s="170">
        <v>167</v>
      </c>
      <c r="G36" s="170">
        <v>303</v>
      </c>
      <c r="H36" s="170">
        <v>14</v>
      </c>
      <c r="I36" s="171">
        <v>1117</v>
      </c>
    </row>
    <row r="37" spans="1:9" s="41" customFormat="1" ht="14.25" customHeight="1">
      <c r="A37" s="594" t="s">
        <v>63</v>
      </c>
      <c r="B37" s="115" t="s">
        <v>285</v>
      </c>
      <c r="C37" s="170">
        <v>23</v>
      </c>
      <c r="D37" s="170">
        <v>5372</v>
      </c>
      <c r="E37" s="170">
        <v>4120</v>
      </c>
      <c r="F37" s="170">
        <v>1866</v>
      </c>
      <c r="G37" s="170">
        <v>1197</v>
      </c>
      <c r="H37" s="170">
        <v>245</v>
      </c>
      <c r="I37" s="171">
        <v>6424</v>
      </c>
    </row>
    <row r="38" spans="1:9" s="41" customFormat="1" ht="14.25" customHeight="1">
      <c r="A38" s="594"/>
      <c r="B38" s="115" t="s">
        <v>286</v>
      </c>
      <c r="C38" s="170">
        <v>22</v>
      </c>
      <c r="D38" s="170">
        <v>7169</v>
      </c>
      <c r="E38" s="170">
        <v>5287</v>
      </c>
      <c r="F38" s="170">
        <v>2199</v>
      </c>
      <c r="G38" s="170">
        <v>1652</v>
      </c>
      <c r="H38" s="170">
        <v>265</v>
      </c>
      <c r="I38" s="171">
        <v>12233</v>
      </c>
    </row>
    <row r="39" spans="1:9" s="41" customFormat="1" ht="14.25" customHeight="1">
      <c r="A39" s="594" t="s">
        <v>64</v>
      </c>
      <c r="B39" s="115" t="s">
        <v>285</v>
      </c>
      <c r="C39" s="170">
        <v>9</v>
      </c>
      <c r="D39" s="170">
        <v>1492</v>
      </c>
      <c r="E39" s="170">
        <v>1396</v>
      </c>
      <c r="F39" s="170">
        <v>462</v>
      </c>
      <c r="G39" s="170">
        <v>88</v>
      </c>
      <c r="H39" s="170">
        <v>77</v>
      </c>
      <c r="I39" s="171">
        <v>3241</v>
      </c>
    </row>
    <row r="40" spans="1:9" s="41" customFormat="1" ht="14.25" customHeight="1">
      <c r="A40" s="594"/>
      <c r="B40" s="115" t="s">
        <v>286</v>
      </c>
      <c r="C40" s="170">
        <v>9</v>
      </c>
      <c r="D40" s="170">
        <v>2109</v>
      </c>
      <c r="E40" s="170">
        <v>1370</v>
      </c>
      <c r="F40" s="170">
        <v>412</v>
      </c>
      <c r="G40" s="170">
        <v>62</v>
      </c>
      <c r="H40" s="170">
        <v>66</v>
      </c>
      <c r="I40" s="171">
        <v>3593</v>
      </c>
    </row>
    <row r="41" spans="1:9">
      <c r="D41" s="41"/>
    </row>
    <row r="42" spans="1:9">
      <c r="C42" s="245"/>
      <c r="D42" s="245"/>
      <c r="E42" s="245"/>
      <c r="F42" s="245"/>
      <c r="G42" s="245"/>
      <c r="H42" s="245"/>
      <c r="I42" s="245"/>
    </row>
    <row r="43" spans="1:9">
      <c r="C43" s="245"/>
      <c r="D43" s="245"/>
      <c r="E43" s="245"/>
      <c r="F43" s="245"/>
      <c r="G43" s="245"/>
      <c r="H43" s="245"/>
      <c r="I43" s="245"/>
    </row>
  </sheetData>
  <mergeCells count="28">
    <mergeCell ref="A37:A38"/>
    <mergeCell ref="A39:A40"/>
    <mergeCell ref="A25:A26"/>
    <mergeCell ref="A27:A28"/>
    <mergeCell ref="A29:A30"/>
    <mergeCell ref="A31:A32"/>
    <mergeCell ref="A33:A34"/>
    <mergeCell ref="A35:A36"/>
    <mergeCell ref="A23:A24"/>
    <mergeCell ref="I4:I6"/>
    <mergeCell ref="E5:E6"/>
    <mergeCell ref="F5:G5"/>
    <mergeCell ref="A7:A8"/>
    <mergeCell ref="A9:A10"/>
    <mergeCell ref="A11:A12"/>
    <mergeCell ref="A13:A14"/>
    <mergeCell ref="A15:A16"/>
    <mergeCell ref="A17:A18"/>
    <mergeCell ref="A19:A20"/>
    <mergeCell ref="A21:A22"/>
    <mergeCell ref="A1:I1"/>
    <mergeCell ref="A2:K2"/>
    <mergeCell ref="H3:I3"/>
    <mergeCell ref="A4:B6"/>
    <mergeCell ref="C4:C6"/>
    <mergeCell ref="D4:D6"/>
    <mergeCell ref="E4:G4"/>
    <mergeCell ref="H4:H6"/>
  </mergeCells>
  <hyperlinks>
    <hyperlink ref="H3" location="'Spis tablic'!A4" display="Powrót do spisu treści" xr:uid="{00000000-0004-0000-3500-000000000000}"/>
    <hyperlink ref="H3:I3" location="'Spis tablic  List of tables'!A79" display="'Spis tablic  List of tables'!A79" xr:uid="{00000000-0004-0000-3500-000001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H16"/>
  <sheetViews>
    <sheetView zoomScaleNormal="100" workbookViewId="0">
      <pane ySplit="6" topLeftCell="A7" activePane="bottomLeft" state="frozen"/>
      <selection sqref="A1:Q1"/>
      <selection pane="bottomLeft" activeCell="G3" sqref="G3:H3"/>
    </sheetView>
  </sheetViews>
  <sheetFormatPr defaultColWidth="9.1796875" defaultRowHeight="10"/>
  <cols>
    <col min="1" max="1" width="21.453125" style="41" customWidth="1"/>
    <col min="2" max="8" width="10" style="41" customWidth="1"/>
    <col min="9" max="16384" width="9.1796875" style="41"/>
  </cols>
  <sheetData>
    <row r="1" spans="1:8" s="39" customFormat="1" ht="28.75" customHeight="1">
      <c r="A1" s="545" t="s">
        <v>1258</v>
      </c>
      <c r="B1" s="545"/>
      <c r="C1" s="545"/>
      <c r="D1" s="545"/>
      <c r="E1" s="545"/>
      <c r="F1" s="545"/>
      <c r="G1" s="545"/>
      <c r="H1" s="545"/>
    </row>
    <row r="2" spans="1:8" s="39" customFormat="1" ht="26.15" customHeight="1">
      <c r="A2" s="546" t="s">
        <v>1259</v>
      </c>
      <c r="B2" s="546"/>
      <c r="C2" s="546"/>
      <c r="D2" s="546"/>
      <c r="E2" s="546"/>
      <c r="F2" s="546"/>
      <c r="G2" s="546"/>
      <c r="H2" s="546"/>
    </row>
    <row r="3" spans="1:8" s="39" customFormat="1" ht="27" customHeight="1">
      <c r="B3" s="42"/>
      <c r="F3" s="43"/>
      <c r="G3" s="537" t="s">
        <v>5</v>
      </c>
      <c r="H3" s="547"/>
    </row>
    <row r="4" spans="1:8" ht="36.75" customHeight="1">
      <c r="A4" s="548" t="s">
        <v>6</v>
      </c>
      <c r="B4" s="539" t="s">
        <v>34</v>
      </c>
      <c r="C4" s="539" t="s">
        <v>35</v>
      </c>
      <c r="D4" s="539" t="s">
        <v>1129</v>
      </c>
      <c r="E4" s="543" t="s">
        <v>36</v>
      </c>
      <c r="F4" s="544"/>
      <c r="G4" s="544"/>
      <c r="H4" s="544"/>
    </row>
    <row r="5" spans="1:8" ht="45.65" customHeight="1">
      <c r="A5" s="549"/>
      <c r="B5" s="551"/>
      <c r="C5" s="551"/>
      <c r="D5" s="551"/>
      <c r="E5" s="539" t="s">
        <v>80</v>
      </c>
      <c r="F5" s="541" t="s">
        <v>37</v>
      </c>
      <c r="G5" s="543" t="s">
        <v>1130</v>
      </c>
      <c r="H5" s="544"/>
    </row>
    <row r="6" spans="1:8" ht="53.25" customHeight="1">
      <c r="A6" s="550"/>
      <c r="B6" s="540"/>
      <c r="C6" s="540"/>
      <c r="D6" s="540"/>
      <c r="E6" s="540"/>
      <c r="F6" s="542"/>
      <c r="G6" s="44" t="s">
        <v>39</v>
      </c>
      <c r="H6" s="45" t="s">
        <v>40</v>
      </c>
    </row>
    <row r="7" spans="1:8" ht="24" customHeight="1">
      <c r="A7" s="46" t="s">
        <v>1151</v>
      </c>
      <c r="B7" s="204">
        <v>14476</v>
      </c>
      <c r="C7" s="204">
        <v>22149</v>
      </c>
      <c r="D7" s="204">
        <v>1098851</v>
      </c>
      <c r="E7" s="204">
        <v>1111903</v>
      </c>
      <c r="F7" s="204">
        <v>305868</v>
      </c>
      <c r="G7" s="204">
        <v>789118</v>
      </c>
      <c r="H7" s="205">
        <v>246488</v>
      </c>
    </row>
    <row r="8" spans="1:8" ht="24" customHeight="1">
      <c r="A8" s="250">
        <v>2024</v>
      </c>
      <c r="B8" s="222">
        <v>16612</v>
      </c>
      <c r="C8" s="222">
        <v>25233</v>
      </c>
      <c r="D8" s="222">
        <v>1395168</v>
      </c>
      <c r="E8" s="219">
        <v>1446609</v>
      </c>
      <c r="F8" s="219">
        <v>404643</v>
      </c>
      <c r="G8" s="219">
        <v>1049701</v>
      </c>
      <c r="H8" s="220">
        <v>324875</v>
      </c>
    </row>
    <row r="9" spans="1:8" ht="24" customHeight="1">
      <c r="A9" s="209" t="s">
        <v>41</v>
      </c>
      <c r="B9" s="204">
        <v>1324</v>
      </c>
      <c r="C9" s="204">
        <v>2139</v>
      </c>
      <c r="D9" s="204">
        <v>91729</v>
      </c>
      <c r="E9" s="204">
        <v>105777</v>
      </c>
      <c r="F9" s="204">
        <v>29280</v>
      </c>
      <c r="G9" s="204">
        <v>78106</v>
      </c>
      <c r="H9" s="205">
        <v>24131</v>
      </c>
    </row>
    <row r="10" spans="1:8" ht="24" customHeight="1">
      <c r="A10" s="209" t="s">
        <v>42</v>
      </c>
      <c r="B10" s="182">
        <v>1880</v>
      </c>
      <c r="C10" s="182">
        <v>3080</v>
      </c>
      <c r="D10" s="182">
        <v>232032</v>
      </c>
      <c r="E10" s="204">
        <v>234926</v>
      </c>
      <c r="F10" s="204">
        <v>74698</v>
      </c>
      <c r="G10" s="204">
        <v>172317</v>
      </c>
      <c r="H10" s="205">
        <v>59965</v>
      </c>
    </row>
    <row r="11" spans="1:8" ht="24" customHeight="1">
      <c r="A11" s="209" t="s">
        <v>43</v>
      </c>
      <c r="B11" s="182">
        <v>3188</v>
      </c>
      <c r="C11" s="182">
        <v>4867</v>
      </c>
      <c r="D11" s="182">
        <v>299506</v>
      </c>
      <c r="E11" s="204">
        <v>304404</v>
      </c>
      <c r="F11" s="204">
        <v>83750</v>
      </c>
      <c r="G11" s="204">
        <v>228398</v>
      </c>
      <c r="H11" s="205">
        <v>67761</v>
      </c>
    </row>
    <row r="12" spans="1:8" ht="24" customHeight="1">
      <c r="A12" s="209" t="s">
        <v>44</v>
      </c>
      <c r="B12" s="182">
        <v>2564</v>
      </c>
      <c r="C12" s="182">
        <v>3993</v>
      </c>
      <c r="D12" s="182">
        <v>183022</v>
      </c>
      <c r="E12" s="204">
        <v>193834</v>
      </c>
      <c r="F12" s="204">
        <v>50006</v>
      </c>
      <c r="G12" s="204">
        <v>141079</v>
      </c>
      <c r="H12" s="205">
        <v>41630</v>
      </c>
    </row>
    <row r="13" spans="1:8" ht="24" customHeight="1">
      <c r="A13" s="209" t="s">
        <v>45</v>
      </c>
      <c r="B13" s="182">
        <v>3112</v>
      </c>
      <c r="C13" s="182">
        <v>4533</v>
      </c>
      <c r="D13" s="182">
        <v>240686</v>
      </c>
      <c r="E13" s="204">
        <v>244177</v>
      </c>
      <c r="F13" s="204">
        <v>68239</v>
      </c>
      <c r="G13" s="204">
        <v>174301</v>
      </c>
      <c r="H13" s="205">
        <v>54185</v>
      </c>
    </row>
    <row r="14" spans="1:8" ht="24" customHeight="1">
      <c r="A14" s="209" t="s">
        <v>46</v>
      </c>
      <c r="B14" s="182">
        <v>2066</v>
      </c>
      <c r="C14" s="182">
        <v>2829</v>
      </c>
      <c r="D14" s="182">
        <v>152199</v>
      </c>
      <c r="E14" s="204">
        <v>159400</v>
      </c>
      <c r="F14" s="204">
        <v>39603</v>
      </c>
      <c r="G14" s="204">
        <v>107794</v>
      </c>
      <c r="H14" s="205">
        <v>30933</v>
      </c>
    </row>
    <row r="15" spans="1:8" ht="24" customHeight="1">
      <c r="A15" s="209" t="s">
        <v>47</v>
      </c>
      <c r="B15" s="182">
        <v>2478</v>
      </c>
      <c r="C15" s="182">
        <v>3792</v>
      </c>
      <c r="D15" s="182">
        <v>195994</v>
      </c>
      <c r="E15" s="204">
        <v>204091</v>
      </c>
      <c r="F15" s="204">
        <v>59067</v>
      </c>
      <c r="G15" s="204">
        <v>147706</v>
      </c>
      <c r="H15" s="205">
        <v>46270</v>
      </c>
    </row>
    <row r="16" spans="1:8">
      <c r="A16" s="48"/>
    </row>
  </sheetData>
  <mergeCells count="11">
    <mergeCell ref="E5:E6"/>
    <mergeCell ref="F5:F6"/>
    <mergeCell ref="G5:H5"/>
    <mergeCell ref="A1:H1"/>
    <mergeCell ref="A2:H2"/>
    <mergeCell ref="G3:H3"/>
    <mergeCell ref="A4:A6"/>
    <mergeCell ref="B4:B6"/>
    <mergeCell ref="C4:C6"/>
    <mergeCell ref="D4:D6"/>
    <mergeCell ref="E4:H4"/>
  </mergeCells>
  <hyperlinks>
    <hyperlink ref="G3" location="'Spis tablic'!A4" display="Powrót do spisu treści" xr:uid="{00000000-0004-0000-0300-000000000000}"/>
    <hyperlink ref="G3:H3" location="'Spis tablic  List of tables'!A9" display="'Spis tablic  List of tables'!A9" xr:uid="{00000000-0004-0000-0300-000001000000}"/>
  </hyperlinks>
  <pageMargins left="0.7" right="0.7" top="0.75" bottom="0.75" header="0.3" footer="0.3"/>
  <pageSetup paperSize="9" scale="95" fitToWidth="0" fitToHeight="0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Arkusz34"/>
  <dimension ref="A1:K71"/>
  <sheetViews>
    <sheetView zoomScaleNormal="100" workbookViewId="0">
      <pane ySplit="6" topLeftCell="A7" activePane="bottomLeft" state="frozen"/>
      <selection activeCell="V29" sqref="V29"/>
      <selection pane="bottomLeft" activeCell="A8" sqref="A8:A9"/>
    </sheetView>
  </sheetViews>
  <sheetFormatPr defaultColWidth="9.1796875" defaultRowHeight="14.5"/>
  <cols>
    <col min="1" max="1" width="20.26953125" style="50" customWidth="1"/>
    <col min="2" max="2" width="5.453125" style="50" customWidth="1"/>
    <col min="3" max="9" width="10.7265625" style="50" customWidth="1"/>
    <col min="10" max="16384" width="9.1796875" style="50"/>
  </cols>
  <sheetData>
    <row r="1" spans="1:11" s="39" customFormat="1" ht="23.25" customHeight="1">
      <c r="A1" s="574" t="s">
        <v>1369</v>
      </c>
      <c r="B1" s="574"/>
      <c r="C1" s="574"/>
      <c r="D1" s="574"/>
      <c r="E1" s="574"/>
      <c r="F1" s="574"/>
      <c r="G1" s="574"/>
      <c r="H1" s="574"/>
      <c r="I1" s="574"/>
      <c r="J1" s="64"/>
      <c r="K1" s="64"/>
    </row>
    <row r="2" spans="1:11" s="39" customFormat="1" ht="14.25" customHeight="1">
      <c r="A2" s="556" t="s">
        <v>985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</row>
    <row r="3" spans="1:11" s="39" customFormat="1" ht="26.5" customHeight="1">
      <c r="A3" s="74"/>
      <c r="B3" s="74"/>
      <c r="C3" s="74"/>
      <c r="D3" s="74"/>
      <c r="E3" s="74"/>
      <c r="F3" s="74"/>
      <c r="G3" s="74"/>
      <c r="H3" s="537" t="s">
        <v>5</v>
      </c>
      <c r="I3" s="596"/>
      <c r="J3" s="74"/>
      <c r="K3" s="74"/>
    </row>
    <row r="4" spans="1:11" s="41" customFormat="1" ht="32.25" customHeight="1">
      <c r="A4" s="573" t="s">
        <v>1191</v>
      </c>
      <c r="B4" s="643"/>
      <c r="C4" s="569" t="s">
        <v>351</v>
      </c>
      <c r="D4" s="569" t="s">
        <v>352</v>
      </c>
      <c r="E4" s="569" t="s">
        <v>36</v>
      </c>
      <c r="F4" s="569"/>
      <c r="G4" s="569"/>
      <c r="H4" s="569" t="s">
        <v>951</v>
      </c>
      <c r="I4" s="543" t="s">
        <v>357</v>
      </c>
    </row>
    <row r="5" spans="1:11" s="41" customFormat="1" ht="32.25" customHeight="1">
      <c r="A5" s="573"/>
      <c r="B5" s="643"/>
      <c r="C5" s="569"/>
      <c r="D5" s="569"/>
      <c r="E5" s="569" t="s">
        <v>80</v>
      </c>
      <c r="F5" s="543" t="s">
        <v>355</v>
      </c>
      <c r="G5" s="624"/>
      <c r="H5" s="569"/>
      <c r="I5" s="607"/>
    </row>
    <row r="6" spans="1:11" s="41" customFormat="1" ht="63.75" customHeight="1">
      <c r="A6" s="548"/>
      <c r="B6" s="644"/>
      <c r="C6" s="539"/>
      <c r="D6" s="539"/>
      <c r="E6" s="539"/>
      <c r="F6" s="131" t="s">
        <v>356</v>
      </c>
      <c r="G6" s="131" t="s">
        <v>1142</v>
      </c>
      <c r="H6" s="539"/>
      <c r="I6" s="657"/>
      <c r="K6" s="48"/>
    </row>
    <row r="7" spans="1:11" ht="40.4" customHeight="1">
      <c r="A7" s="538" t="s">
        <v>358</v>
      </c>
      <c r="B7" s="538"/>
      <c r="C7" s="538"/>
      <c r="D7" s="538"/>
      <c r="E7" s="538"/>
      <c r="F7" s="538"/>
      <c r="G7" s="538"/>
      <c r="H7" s="538"/>
      <c r="I7" s="538"/>
    </row>
    <row r="8" spans="1:11" s="41" customFormat="1" ht="14.25" customHeight="1">
      <c r="A8" s="593" t="s">
        <v>298</v>
      </c>
      <c r="B8" s="115" t="s">
        <v>285</v>
      </c>
      <c r="C8" s="182">
        <v>5968</v>
      </c>
      <c r="D8" s="182">
        <v>207373</v>
      </c>
      <c r="E8" s="182">
        <v>184818</v>
      </c>
      <c r="F8" s="182">
        <v>35755</v>
      </c>
      <c r="G8" s="182">
        <v>133549</v>
      </c>
      <c r="H8" s="182">
        <v>70266</v>
      </c>
      <c r="I8" s="171">
        <v>3099500</v>
      </c>
      <c r="K8" s="247"/>
    </row>
    <row r="9" spans="1:11" s="41" customFormat="1" ht="14.25" customHeight="1">
      <c r="A9" s="593"/>
      <c r="B9" s="52" t="s">
        <v>286</v>
      </c>
      <c r="C9" s="202">
        <v>5867</v>
      </c>
      <c r="D9" s="202">
        <v>208049</v>
      </c>
      <c r="E9" s="202">
        <v>178920</v>
      </c>
      <c r="F9" s="202">
        <v>35610</v>
      </c>
      <c r="G9" s="202">
        <v>131752</v>
      </c>
      <c r="H9" s="202">
        <v>71658</v>
      </c>
      <c r="I9" s="206">
        <v>2669838</v>
      </c>
    </row>
    <row r="10" spans="1:11" s="41" customFormat="1" ht="14.25" customHeight="1">
      <c r="A10" s="594" t="s">
        <v>49</v>
      </c>
      <c r="B10" s="115" t="s">
        <v>285</v>
      </c>
      <c r="C10" s="224">
        <v>622</v>
      </c>
      <c r="D10" s="224">
        <v>22710</v>
      </c>
      <c r="E10" s="224">
        <v>20730</v>
      </c>
      <c r="F10" s="224">
        <v>2608</v>
      </c>
      <c r="G10" s="224">
        <v>14400</v>
      </c>
      <c r="H10" s="224">
        <v>14118</v>
      </c>
      <c r="I10" s="224">
        <v>846800</v>
      </c>
    </row>
    <row r="11" spans="1:11" s="41" customFormat="1" ht="14.25" customHeight="1">
      <c r="A11" s="594"/>
      <c r="B11" s="115" t="s">
        <v>286</v>
      </c>
      <c r="C11" s="224">
        <v>630</v>
      </c>
      <c r="D11" s="224">
        <v>22300</v>
      </c>
      <c r="E11" s="224">
        <v>20520</v>
      </c>
      <c r="F11" s="224">
        <v>2490</v>
      </c>
      <c r="G11" s="224">
        <v>14200</v>
      </c>
      <c r="H11" s="224">
        <v>14298</v>
      </c>
      <c r="I11" s="224">
        <v>819200</v>
      </c>
    </row>
    <row r="12" spans="1:11" s="41" customFormat="1" ht="14.25" customHeight="1">
      <c r="A12" s="594" t="s">
        <v>50</v>
      </c>
      <c r="B12" s="115" t="s">
        <v>285</v>
      </c>
      <c r="C12" s="204">
        <v>366</v>
      </c>
      <c r="D12" s="204">
        <v>13774</v>
      </c>
      <c r="E12" s="204">
        <v>11683</v>
      </c>
      <c r="F12" s="204">
        <v>1791</v>
      </c>
      <c r="G12" s="204">
        <v>8994</v>
      </c>
      <c r="H12" s="204">
        <v>1223</v>
      </c>
      <c r="I12" s="171">
        <v>60845</v>
      </c>
    </row>
    <row r="13" spans="1:11" s="41" customFormat="1" ht="14.25" customHeight="1">
      <c r="A13" s="594"/>
      <c r="B13" s="115" t="s">
        <v>286</v>
      </c>
      <c r="C13" s="204">
        <v>346</v>
      </c>
      <c r="D13" s="204">
        <v>14060</v>
      </c>
      <c r="E13" s="204">
        <v>11390</v>
      </c>
      <c r="F13" s="204">
        <v>1750</v>
      </c>
      <c r="G13" s="204">
        <v>8740</v>
      </c>
      <c r="H13" s="204">
        <v>1226</v>
      </c>
      <c r="I13" s="171">
        <v>59160</v>
      </c>
    </row>
    <row r="14" spans="1:11" s="41" customFormat="1" ht="14.25" customHeight="1">
      <c r="A14" s="594" t="s">
        <v>51</v>
      </c>
      <c r="B14" s="115" t="s">
        <v>285</v>
      </c>
      <c r="C14" s="204">
        <v>748</v>
      </c>
      <c r="D14" s="204">
        <v>28752</v>
      </c>
      <c r="E14" s="204">
        <v>27987</v>
      </c>
      <c r="F14" s="204">
        <v>8857</v>
      </c>
      <c r="G14" s="204">
        <v>19130</v>
      </c>
      <c r="H14" s="204">
        <v>7277</v>
      </c>
      <c r="I14" s="171">
        <v>115541</v>
      </c>
    </row>
    <row r="15" spans="1:11" s="41" customFormat="1" ht="14.25" customHeight="1">
      <c r="A15" s="594"/>
      <c r="B15" s="115" t="s">
        <v>286</v>
      </c>
      <c r="C15" s="204">
        <v>748</v>
      </c>
      <c r="D15" s="204">
        <v>30445</v>
      </c>
      <c r="E15" s="204">
        <v>26415</v>
      </c>
      <c r="F15" s="204">
        <v>8798</v>
      </c>
      <c r="G15" s="204">
        <v>17617</v>
      </c>
      <c r="H15" s="204">
        <v>7420</v>
      </c>
      <c r="I15" s="171">
        <v>119453</v>
      </c>
    </row>
    <row r="16" spans="1:11" s="41" customFormat="1" ht="14.25" customHeight="1">
      <c r="A16" s="594" t="s">
        <v>52</v>
      </c>
      <c r="B16" s="115" t="s">
        <v>285</v>
      </c>
      <c r="C16" s="204">
        <v>348</v>
      </c>
      <c r="D16" s="204">
        <v>8110</v>
      </c>
      <c r="E16" s="204">
        <v>5343</v>
      </c>
      <c r="F16" s="204">
        <v>666</v>
      </c>
      <c r="G16" s="204">
        <v>4297</v>
      </c>
      <c r="H16" s="204">
        <v>1689</v>
      </c>
      <c r="I16" s="171">
        <v>101423</v>
      </c>
    </row>
    <row r="17" spans="1:9" s="41" customFormat="1" ht="14.25" customHeight="1">
      <c r="A17" s="594"/>
      <c r="B17" s="115" t="s">
        <v>286</v>
      </c>
      <c r="C17" s="204">
        <v>347</v>
      </c>
      <c r="D17" s="204">
        <v>8176</v>
      </c>
      <c r="E17" s="204">
        <v>3923</v>
      </c>
      <c r="F17" s="204">
        <v>696</v>
      </c>
      <c r="G17" s="204">
        <v>4352</v>
      </c>
      <c r="H17" s="204">
        <v>1714</v>
      </c>
      <c r="I17" s="171">
        <v>101370</v>
      </c>
    </row>
    <row r="18" spans="1:9" s="41" customFormat="1" ht="14.25" customHeight="1">
      <c r="A18" s="594" t="s">
        <v>53</v>
      </c>
      <c r="B18" s="115" t="s">
        <v>285</v>
      </c>
      <c r="C18" s="204">
        <v>455</v>
      </c>
      <c r="D18" s="204">
        <v>11293</v>
      </c>
      <c r="E18" s="204">
        <v>10923</v>
      </c>
      <c r="F18" s="204">
        <v>2739</v>
      </c>
      <c r="G18" s="204">
        <v>8084</v>
      </c>
      <c r="H18" s="204">
        <v>7431</v>
      </c>
      <c r="I18" s="171">
        <v>452092</v>
      </c>
    </row>
    <row r="19" spans="1:9" s="41" customFormat="1" ht="14.25" customHeight="1">
      <c r="A19" s="594"/>
      <c r="B19" s="115" t="s">
        <v>286</v>
      </c>
      <c r="C19" s="204">
        <v>292</v>
      </c>
      <c r="D19" s="204">
        <v>8896</v>
      </c>
      <c r="E19" s="204">
        <v>8522</v>
      </c>
      <c r="F19" s="204">
        <v>2458</v>
      </c>
      <c r="G19" s="204">
        <v>6274</v>
      </c>
      <c r="H19" s="204">
        <v>5167</v>
      </c>
      <c r="I19" s="171">
        <v>250640</v>
      </c>
    </row>
    <row r="20" spans="1:9" s="41" customFormat="1" ht="14.25" customHeight="1">
      <c r="A20" s="594" t="s">
        <v>54</v>
      </c>
      <c r="B20" s="115" t="s">
        <v>285</v>
      </c>
      <c r="C20" s="204">
        <v>447</v>
      </c>
      <c r="D20" s="204">
        <v>15230</v>
      </c>
      <c r="E20" s="204">
        <v>14110</v>
      </c>
      <c r="F20" s="204">
        <v>1170</v>
      </c>
      <c r="G20" s="204">
        <v>10880</v>
      </c>
      <c r="H20" s="204">
        <v>7282</v>
      </c>
      <c r="I20" s="171">
        <v>353620</v>
      </c>
    </row>
    <row r="21" spans="1:9" s="41" customFormat="1" ht="14.25" customHeight="1">
      <c r="A21" s="594"/>
      <c r="B21" s="115" t="s">
        <v>286</v>
      </c>
      <c r="C21" s="204">
        <v>453</v>
      </c>
      <c r="D21" s="204">
        <v>15360</v>
      </c>
      <c r="E21" s="204">
        <v>12140</v>
      </c>
      <c r="F21" s="204">
        <v>1240</v>
      </c>
      <c r="G21" s="204">
        <v>11640</v>
      </c>
      <c r="H21" s="204">
        <v>7706</v>
      </c>
      <c r="I21" s="171">
        <v>386380</v>
      </c>
    </row>
    <row r="22" spans="1:9" s="41" customFormat="1" ht="14.25" customHeight="1">
      <c r="A22" s="594" t="s">
        <v>55</v>
      </c>
      <c r="B22" s="115" t="s">
        <v>285</v>
      </c>
      <c r="C22" s="204">
        <v>266</v>
      </c>
      <c r="D22" s="204">
        <v>9240</v>
      </c>
      <c r="E22" s="204">
        <v>7300</v>
      </c>
      <c r="F22" s="224">
        <v>1525</v>
      </c>
      <c r="G22" s="204">
        <v>5435</v>
      </c>
      <c r="H22" s="204">
        <v>3710</v>
      </c>
      <c r="I22" s="171">
        <v>186500</v>
      </c>
    </row>
    <row r="23" spans="1:9" s="41" customFormat="1" ht="14.25" customHeight="1">
      <c r="A23" s="594"/>
      <c r="B23" s="115" t="s">
        <v>286</v>
      </c>
      <c r="C23" s="204">
        <v>266</v>
      </c>
      <c r="D23" s="204">
        <v>9240</v>
      </c>
      <c r="E23" s="204">
        <v>7300</v>
      </c>
      <c r="F23" s="224">
        <v>1525</v>
      </c>
      <c r="G23" s="204">
        <v>5435</v>
      </c>
      <c r="H23" s="204">
        <v>3710</v>
      </c>
      <c r="I23" s="171">
        <v>186500</v>
      </c>
    </row>
    <row r="24" spans="1:9" s="41" customFormat="1" ht="14.25" customHeight="1">
      <c r="A24" s="594" t="s">
        <v>56</v>
      </c>
      <c r="B24" s="115" t="s">
        <v>285</v>
      </c>
      <c r="C24" s="204">
        <v>328</v>
      </c>
      <c r="D24" s="204">
        <v>10751</v>
      </c>
      <c r="E24" s="204">
        <v>10466</v>
      </c>
      <c r="F24" s="204">
        <v>2455</v>
      </c>
      <c r="G24" s="204">
        <v>7721</v>
      </c>
      <c r="H24" s="204">
        <v>4441</v>
      </c>
      <c r="I24" s="171">
        <v>313744</v>
      </c>
    </row>
    <row r="25" spans="1:9" s="41" customFormat="1" ht="14.25" customHeight="1">
      <c r="A25" s="594"/>
      <c r="B25" s="115" t="s">
        <v>286</v>
      </c>
      <c r="C25" s="204">
        <v>326</v>
      </c>
      <c r="D25" s="204">
        <v>10751</v>
      </c>
      <c r="E25" s="204">
        <v>10466</v>
      </c>
      <c r="F25" s="204">
        <v>2455</v>
      </c>
      <c r="G25" s="204">
        <v>7721</v>
      </c>
      <c r="H25" s="204">
        <v>4409</v>
      </c>
      <c r="I25" s="171">
        <v>312028</v>
      </c>
    </row>
    <row r="26" spans="1:9" s="41" customFormat="1" ht="14.25" customHeight="1">
      <c r="A26" s="594" t="s">
        <v>57</v>
      </c>
      <c r="B26" s="115" t="s">
        <v>285</v>
      </c>
      <c r="C26" s="224">
        <v>382</v>
      </c>
      <c r="D26" s="224">
        <v>12684</v>
      </c>
      <c r="E26" s="224">
        <v>11602</v>
      </c>
      <c r="F26" s="224">
        <v>1478</v>
      </c>
      <c r="G26" s="224">
        <v>8320</v>
      </c>
      <c r="H26" s="224">
        <v>10844</v>
      </c>
      <c r="I26" s="224">
        <v>320620</v>
      </c>
    </row>
    <row r="27" spans="1:9" s="41" customFormat="1" ht="14.25" customHeight="1">
      <c r="A27" s="594"/>
      <c r="B27" s="115" t="s">
        <v>286</v>
      </c>
      <c r="C27" s="224">
        <v>382</v>
      </c>
      <c r="D27" s="224">
        <v>13667</v>
      </c>
      <c r="E27" s="224">
        <v>13667</v>
      </c>
      <c r="F27" s="224">
        <v>1500</v>
      </c>
      <c r="G27" s="224">
        <v>8108</v>
      </c>
      <c r="H27" s="224">
        <v>11935</v>
      </c>
      <c r="I27" s="224">
        <v>39710</v>
      </c>
    </row>
    <row r="28" spans="1:9" s="41" customFormat="1" ht="14.25" customHeight="1">
      <c r="A28" s="594" t="s">
        <v>58</v>
      </c>
      <c r="B28" s="115" t="s">
        <v>285</v>
      </c>
      <c r="C28" s="204">
        <v>165</v>
      </c>
      <c r="D28" s="204">
        <v>4600</v>
      </c>
      <c r="E28" s="204">
        <v>4150</v>
      </c>
      <c r="F28" s="204">
        <v>1350</v>
      </c>
      <c r="G28" s="204">
        <v>3800</v>
      </c>
      <c r="H28" s="204">
        <v>706</v>
      </c>
      <c r="I28" s="171">
        <v>35200</v>
      </c>
    </row>
    <row r="29" spans="1:9" s="41" customFormat="1" ht="14.25" customHeight="1">
      <c r="A29" s="594"/>
      <c r="B29" s="115" t="s">
        <v>286</v>
      </c>
      <c r="C29" s="204">
        <v>153</v>
      </c>
      <c r="D29" s="204">
        <v>4500</v>
      </c>
      <c r="E29" s="204">
        <v>4050</v>
      </c>
      <c r="F29" s="204">
        <v>1300</v>
      </c>
      <c r="G29" s="204">
        <v>3700</v>
      </c>
      <c r="H29" s="204">
        <v>640</v>
      </c>
      <c r="I29" s="171">
        <v>32200</v>
      </c>
    </row>
    <row r="30" spans="1:9" s="41" customFormat="1" ht="14.25" customHeight="1">
      <c r="A30" s="594" t="s">
        <v>59</v>
      </c>
      <c r="B30" s="115" t="s">
        <v>285</v>
      </c>
      <c r="C30" s="204">
        <v>184</v>
      </c>
      <c r="D30" s="204">
        <v>11439</v>
      </c>
      <c r="E30" s="204">
        <v>9704</v>
      </c>
      <c r="F30" s="204">
        <v>3241</v>
      </c>
      <c r="G30" s="204">
        <v>8558</v>
      </c>
      <c r="H30" s="204">
        <v>370</v>
      </c>
      <c r="I30" s="171">
        <v>42375</v>
      </c>
    </row>
    <row r="31" spans="1:9" s="41" customFormat="1" ht="14.25" customHeight="1">
      <c r="A31" s="594"/>
      <c r="B31" s="115" t="s">
        <v>286</v>
      </c>
      <c r="C31" s="204">
        <v>230</v>
      </c>
      <c r="D31" s="204">
        <v>11012</v>
      </c>
      <c r="E31" s="204">
        <v>9704</v>
      </c>
      <c r="F31" s="204">
        <v>3241</v>
      </c>
      <c r="G31" s="204">
        <v>8759</v>
      </c>
      <c r="H31" s="204">
        <v>370</v>
      </c>
      <c r="I31" s="171">
        <v>42375</v>
      </c>
    </row>
    <row r="32" spans="1:9" s="41" customFormat="1" ht="14.25" customHeight="1">
      <c r="A32" s="594" t="s">
        <v>60</v>
      </c>
      <c r="B32" s="115" t="s">
        <v>285</v>
      </c>
      <c r="C32" s="224">
        <v>407</v>
      </c>
      <c r="D32" s="224">
        <v>16316</v>
      </c>
      <c r="E32" s="224">
        <v>11946</v>
      </c>
      <c r="F32" s="224">
        <v>511</v>
      </c>
      <c r="G32" s="224">
        <v>7308</v>
      </c>
      <c r="H32" s="224">
        <v>36</v>
      </c>
      <c r="I32" s="224">
        <v>6417</v>
      </c>
    </row>
    <row r="33" spans="1:9" s="41" customFormat="1" ht="14.25" customHeight="1">
      <c r="A33" s="594"/>
      <c r="B33" s="115" t="s">
        <v>286</v>
      </c>
      <c r="C33" s="224">
        <v>411</v>
      </c>
      <c r="D33" s="224">
        <v>16466</v>
      </c>
      <c r="E33" s="224">
        <v>12046</v>
      </c>
      <c r="F33" s="224">
        <v>521</v>
      </c>
      <c r="G33" s="224">
        <v>7400</v>
      </c>
      <c r="H33" s="224">
        <v>1668</v>
      </c>
      <c r="I33" s="224">
        <v>52232</v>
      </c>
    </row>
    <row r="34" spans="1:9" s="41" customFormat="1" ht="14.25" customHeight="1">
      <c r="A34" s="594" t="s">
        <v>61</v>
      </c>
      <c r="B34" s="115" t="s">
        <v>285</v>
      </c>
      <c r="C34" s="204">
        <v>178</v>
      </c>
      <c r="D34" s="204">
        <v>5361</v>
      </c>
      <c r="E34" s="204">
        <v>5033</v>
      </c>
      <c r="F34" s="204">
        <v>1089</v>
      </c>
      <c r="G34" s="204">
        <v>3578</v>
      </c>
      <c r="H34" s="204">
        <v>692</v>
      </c>
      <c r="I34" s="171">
        <v>22193</v>
      </c>
    </row>
    <row r="35" spans="1:9" s="41" customFormat="1" ht="14.25" customHeight="1">
      <c r="A35" s="594"/>
      <c r="B35" s="115" t="s">
        <v>286</v>
      </c>
      <c r="C35" s="204">
        <v>190</v>
      </c>
      <c r="D35" s="204">
        <v>5760</v>
      </c>
      <c r="E35" s="204">
        <v>4970</v>
      </c>
      <c r="F35" s="204">
        <v>1010</v>
      </c>
      <c r="G35" s="204">
        <v>3960</v>
      </c>
      <c r="H35" s="204">
        <v>710</v>
      </c>
      <c r="I35" s="171">
        <v>22220</v>
      </c>
    </row>
    <row r="36" spans="1:9" s="41" customFormat="1" ht="14.25" customHeight="1">
      <c r="A36" s="594" t="s">
        <v>62</v>
      </c>
      <c r="B36" s="115" t="s">
        <v>285</v>
      </c>
      <c r="C36" s="204">
        <v>505</v>
      </c>
      <c r="D36" s="204">
        <v>9830</v>
      </c>
      <c r="E36" s="204">
        <v>9401</v>
      </c>
      <c r="F36" s="204">
        <v>2519</v>
      </c>
      <c r="G36" s="204">
        <v>7123</v>
      </c>
      <c r="H36" s="204">
        <v>3357</v>
      </c>
      <c r="I36" s="171">
        <v>117100</v>
      </c>
    </row>
    <row r="37" spans="1:9" s="41" customFormat="1" ht="14.25" customHeight="1">
      <c r="A37" s="594"/>
      <c r="B37" s="115" t="s">
        <v>286</v>
      </c>
      <c r="C37" s="204">
        <v>512</v>
      </c>
      <c r="D37" s="204">
        <v>9908</v>
      </c>
      <c r="E37" s="204">
        <v>9351</v>
      </c>
      <c r="F37" s="204">
        <v>2855</v>
      </c>
      <c r="G37" s="204">
        <v>7907</v>
      </c>
      <c r="H37" s="204">
        <v>3372</v>
      </c>
      <c r="I37" s="171">
        <v>119100</v>
      </c>
    </row>
    <row r="38" spans="1:9" s="41" customFormat="1" ht="14.25" customHeight="1">
      <c r="A38" s="594" t="s">
        <v>63</v>
      </c>
      <c r="B38" s="115" t="s">
        <v>285</v>
      </c>
      <c r="C38" s="224">
        <v>221</v>
      </c>
      <c r="D38" s="224">
        <v>7281</v>
      </c>
      <c r="E38" s="224">
        <v>5882</v>
      </c>
      <c r="F38" s="224">
        <v>1962</v>
      </c>
      <c r="G38" s="224">
        <v>4050</v>
      </c>
      <c r="H38" s="224">
        <v>2890</v>
      </c>
      <c r="I38" s="224">
        <v>111290</v>
      </c>
    </row>
    <row r="39" spans="1:9" s="41" customFormat="1" ht="14.25" customHeight="1">
      <c r="A39" s="594"/>
      <c r="B39" s="115" t="s">
        <v>286</v>
      </c>
      <c r="C39" s="224">
        <v>234</v>
      </c>
      <c r="D39" s="224">
        <v>7476</v>
      </c>
      <c r="E39" s="224">
        <v>5882</v>
      </c>
      <c r="F39" s="224">
        <v>1962</v>
      </c>
      <c r="G39" s="224">
        <v>4050</v>
      </c>
      <c r="H39" s="224">
        <v>2898</v>
      </c>
      <c r="I39" s="224">
        <v>111420</v>
      </c>
    </row>
    <row r="40" spans="1:9" s="41" customFormat="1" ht="14.25" customHeight="1">
      <c r="A40" s="594" t="s">
        <v>64</v>
      </c>
      <c r="B40" s="115" t="s">
        <v>285</v>
      </c>
      <c r="C40" s="204">
        <v>346</v>
      </c>
      <c r="D40" s="204">
        <v>20002</v>
      </c>
      <c r="E40" s="204">
        <v>18558</v>
      </c>
      <c r="F40" s="204">
        <v>1794</v>
      </c>
      <c r="G40" s="204">
        <v>11871</v>
      </c>
      <c r="H40" s="204">
        <v>4200</v>
      </c>
      <c r="I40" s="171">
        <v>13740</v>
      </c>
    </row>
    <row r="41" spans="1:9" s="41" customFormat="1" ht="14.25" customHeight="1">
      <c r="A41" s="594"/>
      <c r="B41" s="115" t="s">
        <v>286</v>
      </c>
      <c r="C41" s="204">
        <v>347</v>
      </c>
      <c r="D41" s="204">
        <v>20032</v>
      </c>
      <c r="E41" s="204">
        <v>18574</v>
      </c>
      <c r="F41" s="204">
        <v>1809</v>
      </c>
      <c r="G41" s="204">
        <v>11889</v>
      </c>
      <c r="H41" s="204">
        <v>4415</v>
      </c>
      <c r="I41" s="171">
        <v>15850</v>
      </c>
    </row>
    <row r="42" spans="1:9" ht="40.4" customHeight="1">
      <c r="A42" s="538" t="s">
        <v>939</v>
      </c>
      <c r="B42" s="538"/>
      <c r="C42" s="538"/>
      <c r="D42" s="538"/>
      <c r="E42" s="538"/>
      <c r="F42" s="538"/>
      <c r="G42" s="538"/>
      <c r="H42" s="538"/>
      <c r="I42" s="538"/>
    </row>
    <row r="43" spans="1:9" s="41" customFormat="1" ht="14.25" customHeight="1">
      <c r="A43" s="593" t="s">
        <v>298</v>
      </c>
      <c r="B43" s="115" t="s">
        <v>285</v>
      </c>
      <c r="C43" s="182">
        <v>913</v>
      </c>
      <c r="D43" s="182">
        <v>30234</v>
      </c>
      <c r="E43" s="182">
        <v>28140</v>
      </c>
      <c r="F43" s="182">
        <v>4181</v>
      </c>
      <c r="G43" s="182">
        <v>19543</v>
      </c>
      <c r="H43" s="182">
        <v>7488</v>
      </c>
      <c r="I43" s="171">
        <v>428874</v>
      </c>
    </row>
    <row r="44" spans="1:9" s="41" customFormat="1" ht="14.25" customHeight="1">
      <c r="A44" s="593"/>
      <c r="B44" s="52" t="s">
        <v>286</v>
      </c>
      <c r="C44" s="202">
        <v>889</v>
      </c>
      <c r="D44" s="202">
        <v>30707</v>
      </c>
      <c r="E44" s="202">
        <v>28079</v>
      </c>
      <c r="F44" s="202">
        <v>4714</v>
      </c>
      <c r="G44" s="202">
        <v>20030</v>
      </c>
      <c r="H44" s="202">
        <v>7463</v>
      </c>
      <c r="I44" s="206">
        <v>420766</v>
      </c>
    </row>
    <row r="45" spans="1:9" s="41" customFormat="1" ht="14.25" customHeight="1">
      <c r="A45" s="594" t="s">
        <v>50</v>
      </c>
      <c r="B45" s="115" t="s">
        <v>285</v>
      </c>
      <c r="C45" s="204">
        <v>86</v>
      </c>
      <c r="D45" s="204">
        <v>5042</v>
      </c>
      <c r="E45" s="204">
        <v>4440</v>
      </c>
      <c r="F45" s="204">
        <v>410</v>
      </c>
      <c r="G45" s="204">
        <v>3624</v>
      </c>
      <c r="H45" s="204">
        <v>190</v>
      </c>
      <c r="I45" s="171">
        <v>21033</v>
      </c>
    </row>
    <row r="46" spans="1:9" s="41" customFormat="1" ht="14.25" customHeight="1">
      <c r="A46" s="594"/>
      <c r="B46" s="115" t="s">
        <v>286</v>
      </c>
      <c r="C46" s="204">
        <v>67</v>
      </c>
      <c r="D46" s="204">
        <v>5120</v>
      </c>
      <c r="E46" s="204">
        <v>4210</v>
      </c>
      <c r="F46" s="204">
        <v>460</v>
      </c>
      <c r="G46" s="204">
        <v>3320</v>
      </c>
      <c r="H46" s="204">
        <v>183</v>
      </c>
      <c r="I46" s="171">
        <v>20565</v>
      </c>
    </row>
    <row r="47" spans="1:9" s="41" customFormat="1" ht="14.25" customHeight="1">
      <c r="A47" s="594" t="s">
        <v>51</v>
      </c>
      <c r="B47" s="115" t="s">
        <v>285</v>
      </c>
      <c r="C47" s="204">
        <v>23</v>
      </c>
      <c r="D47" s="204">
        <v>542</v>
      </c>
      <c r="E47" s="204">
        <v>542</v>
      </c>
      <c r="F47" s="204">
        <v>202</v>
      </c>
      <c r="G47" s="204">
        <v>340</v>
      </c>
      <c r="H47" s="204">
        <v>557</v>
      </c>
      <c r="I47" s="171">
        <v>21716</v>
      </c>
    </row>
    <row r="48" spans="1:9" s="41" customFormat="1" ht="14.25" customHeight="1">
      <c r="A48" s="594"/>
      <c r="B48" s="115" t="s">
        <v>286</v>
      </c>
      <c r="C48" s="204">
        <v>23</v>
      </c>
      <c r="D48" s="204">
        <v>555</v>
      </c>
      <c r="E48" s="204">
        <v>555</v>
      </c>
      <c r="F48" s="204">
        <v>198</v>
      </c>
      <c r="G48" s="204">
        <v>357</v>
      </c>
      <c r="H48" s="204">
        <v>607</v>
      </c>
      <c r="I48" s="171">
        <v>23102</v>
      </c>
    </row>
    <row r="49" spans="1:10" s="41" customFormat="1" ht="14.25" customHeight="1">
      <c r="A49" s="594" t="s">
        <v>52</v>
      </c>
      <c r="B49" s="115" t="s">
        <v>285</v>
      </c>
      <c r="C49" s="204">
        <v>30</v>
      </c>
      <c r="D49" s="204">
        <v>595</v>
      </c>
      <c r="E49" s="204">
        <v>540</v>
      </c>
      <c r="F49" s="204">
        <v>32</v>
      </c>
      <c r="G49" s="204">
        <v>136</v>
      </c>
      <c r="H49" s="204">
        <v>54</v>
      </c>
      <c r="I49" s="171">
        <v>11277</v>
      </c>
    </row>
    <row r="50" spans="1:10" s="41" customFormat="1" ht="14.25" customHeight="1">
      <c r="A50" s="594"/>
      <c r="B50" s="115" t="s">
        <v>286</v>
      </c>
      <c r="C50" s="204">
        <v>24</v>
      </c>
      <c r="D50" s="204">
        <v>476</v>
      </c>
      <c r="E50" s="204">
        <v>432</v>
      </c>
      <c r="F50" s="204">
        <v>25</v>
      </c>
      <c r="G50" s="204">
        <v>108</v>
      </c>
      <c r="H50" s="204">
        <v>46</v>
      </c>
      <c r="I50" s="171">
        <v>9476</v>
      </c>
    </row>
    <row r="51" spans="1:10" s="41" customFormat="1" ht="14.25" customHeight="1">
      <c r="A51" s="594" t="s">
        <v>53</v>
      </c>
      <c r="B51" s="115" t="s">
        <v>285</v>
      </c>
      <c r="C51" s="204">
        <v>54</v>
      </c>
      <c r="D51" s="204">
        <v>1350</v>
      </c>
      <c r="E51" s="204">
        <v>1220</v>
      </c>
      <c r="F51" s="204">
        <v>200</v>
      </c>
      <c r="G51" s="204">
        <v>1020</v>
      </c>
      <c r="H51" s="204">
        <v>483</v>
      </c>
      <c r="I51" s="171">
        <v>27992</v>
      </c>
    </row>
    <row r="52" spans="1:10" s="41" customFormat="1" ht="14.25" customHeight="1">
      <c r="A52" s="594"/>
      <c r="B52" s="115" t="s">
        <v>286</v>
      </c>
      <c r="C52" s="204">
        <v>62</v>
      </c>
      <c r="D52" s="204">
        <v>1892</v>
      </c>
      <c r="E52" s="204">
        <v>1742</v>
      </c>
      <c r="F52" s="204">
        <v>684</v>
      </c>
      <c r="G52" s="204">
        <v>1350</v>
      </c>
      <c r="H52" s="204">
        <v>470</v>
      </c>
      <c r="I52" s="171">
        <v>23772</v>
      </c>
    </row>
    <row r="53" spans="1:10" s="41" customFormat="1" ht="14.25" customHeight="1">
      <c r="A53" s="594" t="s">
        <v>54</v>
      </c>
      <c r="B53" s="115" t="s">
        <v>285</v>
      </c>
      <c r="C53" s="204">
        <v>3</v>
      </c>
      <c r="D53" s="204">
        <v>190</v>
      </c>
      <c r="E53" s="204">
        <v>190</v>
      </c>
      <c r="F53" s="204">
        <v>20</v>
      </c>
      <c r="G53" s="204">
        <v>170</v>
      </c>
      <c r="H53" s="204">
        <v>60</v>
      </c>
      <c r="I53" s="171">
        <v>8390</v>
      </c>
    </row>
    <row r="54" spans="1:10" s="41" customFormat="1" ht="14.25" customHeight="1">
      <c r="A54" s="594"/>
      <c r="B54" s="115" t="s">
        <v>286</v>
      </c>
      <c r="C54" s="204">
        <v>3</v>
      </c>
      <c r="D54" s="204">
        <v>210</v>
      </c>
      <c r="E54" s="204">
        <v>200</v>
      </c>
      <c r="F54" s="204">
        <v>20</v>
      </c>
      <c r="G54" s="204">
        <v>180</v>
      </c>
      <c r="H54" s="204">
        <v>63</v>
      </c>
      <c r="I54" s="171">
        <v>9050</v>
      </c>
    </row>
    <row r="55" spans="1:10" s="41" customFormat="1" ht="14.25" customHeight="1">
      <c r="A55" s="594" t="s">
        <v>55</v>
      </c>
      <c r="B55" s="115" t="s">
        <v>285</v>
      </c>
      <c r="C55" s="204">
        <v>5</v>
      </c>
      <c r="D55" s="204">
        <v>105</v>
      </c>
      <c r="E55" s="204">
        <v>105</v>
      </c>
      <c r="F55" s="170" t="s">
        <v>1074</v>
      </c>
      <c r="G55" s="204">
        <v>105</v>
      </c>
      <c r="H55" s="204">
        <v>60</v>
      </c>
      <c r="I55" s="171">
        <v>3850</v>
      </c>
    </row>
    <row r="56" spans="1:10" s="41" customFormat="1" ht="14.25" customHeight="1">
      <c r="A56" s="594"/>
      <c r="B56" s="115" t="s">
        <v>286</v>
      </c>
      <c r="C56" s="204">
        <v>5</v>
      </c>
      <c r="D56" s="204">
        <v>105</v>
      </c>
      <c r="E56" s="204">
        <v>105</v>
      </c>
      <c r="F56" s="170" t="s">
        <v>1074</v>
      </c>
      <c r="G56" s="204">
        <v>105</v>
      </c>
      <c r="H56" s="204">
        <v>60</v>
      </c>
      <c r="I56" s="171">
        <v>3850</v>
      </c>
    </row>
    <row r="57" spans="1:10" s="41" customFormat="1" ht="14.25" customHeight="1">
      <c r="A57" s="594" t="s">
        <v>56</v>
      </c>
      <c r="B57" s="115" t="s">
        <v>285</v>
      </c>
      <c r="C57" s="204">
        <v>171</v>
      </c>
      <c r="D57" s="204">
        <v>7022</v>
      </c>
      <c r="E57" s="204">
        <v>6830</v>
      </c>
      <c r="F57" s="204">
        <v>1001</v>
      </c>
      <c r="G57" s="204">
        <v>4862</v>
      </c>
      <c r="H57" s="204">
        <v>2630</v>
      </c>
      <c r="I57" s="171">
        <v>216526</v>
      </c>
    </row>
    <row r="58" spans="1:10" s="41" customFormat="1" ht="14.25" customHeight="1">
      <c r="A58" s="594"/>
      <c r="B58" s="115" t="s">
        <v>286</v>
      </c>
      <c r="C58" s="204">
        <v>169</v>
      </c>
      <c r="D58" s="204">
        <v>7022</v>
      </c>
      <c r="E58" s="204">
        <v>6830</v>
      </c>
      <c r="F58" s="204">
        <v>1001</v>
      </c>
      <c r="G58" s="204">
        <v>4862</v>
      </c>
      <c r="H58" s="204">
        <v>2630</v>
      </c>
      <c r="I58" s="171">
        <v>216526</v>
      </c>
      <c r="J58" s="55"/>
    </row>
    <row r="59" spans="1:10" s="41" customFormat="1" ht="14.25" customHeight="1">
      <c r="A59" s="594" t="s">
        <v>58</v>
      </c>
      <c r="B59" s="115" t="s">
        <v>285</v>
      </c>
      <c r="C59" s="204">
        <v>110</v>
      </c>
      <c r="D59" s="204">
        <v>2500</v>
      </c>
      <c r="E59" s="204">
        <v>2200</v>
      </c>
      <c r="F59" s="204">
        <v>800</v>
      </c>
      <c r="G59" s="204">
        <v>2000</v>
      </c>
      <c r="H59" s="204">
        <v>470</v>
      </c>
      <c r="I59" s="171">
        <v>19300</v>
      </c>
      <c r="J59" s="55"/>
    </row>
    <row r="60" spans="1:10" s="41" customFormat="1" ht="14.25" customHeight="1">
      <c r="A60" s="594"/>
      <c r="B60" s="115" t="s">
        <v>286</v>
      </c>
      <c r="C60" s="204">
        <v>100</v>
      </c>
      <c r="D60" s="204">
        <v>2500</v>
      </c>
      <c r="E60" s="204">
        <v>2200</v>
      </c>
      <c r="F60" s="204">
        <v>800</v>
      </c>
      <c r="G60" s="204">
        <v>2000</v>
      </c>
      <c r="H60" s="204">
        <v>420</v>
      </c>
      <c r="I60" s="171">
        <v>16700</v>
      </c>
      <c r="J60" s="55"/>
    </row>
    <row r="61" spans="1:10" s="41" customFormat="1" ht="14.25" customHeight="1">
      <c r="A61" s="594" t="s">
        <v>59</v>
      </c>
      <c r="B61" s="115" t="s">
        <v>285</v>
      </c>
      <c r="C61" s="204">
        <v>34</v>
      </c>
      <c r="D61" s="204">
        <v>1194</v>
      </c>
      <c r="E61" s="204">
        <v>1117</v>
      </c>
      <c r="F61" s="204">
        <v>152</v>
      </c>
      <c r="G61" s="204">
        <v>1023</v>
      </c>
      <c r="H61" s="204">
        <v>73</v>
      </c>
      <c r="I61" s="171">
        <v>13095</v>
      </c>
      <c r="J61" s="55"/>
    </row>
    <row r="62" spans="1:10" s="41" customFormat="1" ht="14.25" customHeight="1">
      <c r="A62" s="594"/>
      <c r="B62" s="115" t="s">
        <v>286</v>
      </c>
      <c r="C62" s="204">
        <v>34</v>
      </c>
      <c r="D62" s="204">
        <v>1194</v>
      </c>
      <c r="E62" s="204">
        <v>1117</v>
      </c>
      <c r="F62" s="204">
        <v>152</v>
      </c>
      <c r="G62" s="204">
        <v>1023</v>
      </c>
      <c r="H62" s="204">
        <v>73</v>
      </c>
      <c r="I62" s="171">
        <v>13095</v>
      </c>
      <c r="J62" s="55"/>
    </row>
    <row r="63" spans="1:10" s="41" customFormat="1" ht="14.25" customHeight="1">
      <c r="A63" s="594" t="s">
        <v>61</v>
      </c>
      <c r="B63" s="115" t="s">
        <v>285</v>
      </c>
      <c r="C63" s="204">
        <v>20</v>
      </c>
      <c r="D63" s="204">
        <v>320</v>
      </c>
      <c r="E63" s="204">
        <v>280</v>
      </c>
      <c r="F63" s="204">
        <v>20</v>
      </c>
      <c r="G63" s="204">
        <v>158</v>
      </c>
      <c r="H63" s="204">
        <v>97</v>
      </c>
      <c r="I63" s="171">
        <v>3593</v>
      </c>
      <c r="J63" s="55"/>
    </row>
    <row r="64" spans="1:10" s="41" customFormat="1" ht="14.25" customHeight="1">
      <c r="A64" s="594"/>
      <c r="B64" s="115" t="s">
        <v>286</v>
      </c>
      <c r="C64" s="204">
        <v>25</v>
      </c>
      <c r="D64" s="204">
        <v>350</v>
      </c>
      <c r="E64" s="204">
        <v>250</v>
      </c>
      <c r="F64" s="204">
        <v>30</v>
      </c>
      <c r="G64" s="204">
        <v>220</v>
      </c>
      <c r="H64" s="204">
        <v>82</v>
      </c>
      <c r="I64" s="171">
        <v>2150</v>
      </c>
      <c r="J64" s="55"/>
    </row>
    <row r="65" spans="1:11" s="41" customFormat="1" ht="14.25" customHeight="1">
      <c r="A65" s="594" t="s">
        <v>62</v>
      </c>
      <c r="B65" s="115" t="s">
        <v>285</v>
      </c>
      <c r="C65" s="204">
        <v>272</v>
      </c>
      <c r="D65" s="204">
        <v>5622</v>
      </c>
      <c r="E65" s="204">
        <v>5476</v>
      </c>
      <c r="F65" s="204">
        <v>1154</v>
      </c>
      <c r="G65" s="204">
        <v>3925</v>
      </c>
      <c r="H65" s="204">
        <v>2512</v>
      </c>
      <c r="I65" s="171">
        <v>76212</v>
      </c>
      <c r="J65" s="55"/>
    </row>
    <row r="66" spans="1:11" s="41" customFormat="1" ht="14.25" customHeight="1">
      <c r="A66" s="594"/>
      <c r="B66" s="115" t="s">
        <v>286</v>
      </c>
      <c r="C66" s="204">
        <v>272</v>
      </c>
      <c r="D66" s="204">
        <v>5531</v>
      </c>
      <c r="E66" s="204">
        <v>5238</v>
      </c>
      <c r="F66" s="204">
        <v>1154</v>
      </c>
      <c r="G66" s="204">
        <v>4325</v>
      </c>
      <c r="H66" s="204">
        <v>2513</v>
      </c>
      <c r="I66" s="171">
        <v>76240</v>
      </c>
      <c r="J66" s="55"/>
    </row>
    <row r="67" spans="1:11" s="41" customFormat="1" ht="14.25" customHeight="1">
      <c r="A67" s="594" t="s">
        <v>64</v>
      </c>
      <c r="B67" s="115" t="s">
        <v>285</v>
      </c>
      <c r="C67" s="204">
        <v>105</v>
      </c>
      <c r="D67" s="204">
        <v>5752</v>
      </c>
      <c r="E67" s="204">
        <v>5200</v>
      </c>
      <c r="F67" s="204">
        <v>190</v>
      </c>
      <c r="G67" s="204">
        <v>2180</v>
      </c>
      <c r="H67" s="204">
        <v>302</v>
      </c>
      <c r="I67" s="171">
        <v>5890</v>
      </c>
      <c r="J67" s="55"/>
    </row>
    <row r="68" spans="1:11" s="41" customFormat="1" ht="14.25" customHeight="1">
      <c r="A68" s="594"/>
      <c r="B68" s="115" t="s">
        <v>286</v>
      </c>
      <c r="C68" s="204">
        <v>105</v>
      </c>
      <c r="D68" s="204">
        <v>5752</v>
      </c>
      <c r="E68" s="204">
        <v>5200</v>
      </c>
      <c r="F68" s="204">
        <v>190</v>
      </c>
      <c r="G68" s="204">
        <v>2180</v>
      </c>
      <c r="H68" s="204">
        <v>316</v>
      </c>
      <c r="I68" s="171">
        <v>6240</v>
      </c>
      <c r="J68" s="55"/>
    </row>
    <row r="69" spans="1:11" s="41" customFormat="1" ht="14.25" customHeight="1">
      <c r="A69" s="459"/>
      <c r="B69" s="115"/>
      <c r="C69" s="223"/>
      <c r="D69" s="223"/>
      <c r="E69" s="223"/>
      <c r="F69" s="223"/>
      <c r="G69" s="223"/>
      <c r="H69" s="223"/>
      <c r="I69" s="246"/>
      <c r="J69" s="55"/>
    </row>
    <row r="70" spans="1:11" ht="22.75" customHeight="1">
      <c r="A70" s="562" t="s">
        <v>359</v>
      </c>
      <c r="B70" s="562"/>
      <c r="C70" s="562"/>
      <c r="D70" s="562"/>
      <c r="E70" s="562"/>
      <c r="F70" s="562"/>
      <c r="G70" s="562"/>
      <c r="H70" s="562"/>
      <c r="I70" s="562"/>
      <c r="J70" s="562"/>
      <c r="K70" s="562"/>
    </row>
    <row r="71" spans="1:11" ht="21" customHeight="1">
      <c r="A71" s="561" t="s">
        <v>360</v>
      </c>
      <c r="B71" s="561"/>
      <c r="C71" s="561"/>
      <c r="D71" s="561"/>
      <c r="E71" s="561"/>
      <c r="F71" s="561"/>
      <c r="G71" s="561"/>
      <c r="H71" s="561"/>
      <c r="I71" s="561"/>
      <c r="J71" s="561"/>
      <c r="K71" s="561"/>
    </row>
  </sheetData>
  <mergeCells count="45">
    <mergeCell ref="A65:A66"/>
    <mergeCell ref="A67:A68"/>
    <mergeCell ref="A70:K70"/>
    <mergeCell ref="A71:K71"/>
    <mergeCell ref="A43:A44"/>
    <mergeCell ref="A63:A6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34:A35"/>
    <mergeCell ref="A36:A37"/>
    <mergeCell ref="A38:A39"/>
    <mergeCell ref="A40:A41"/>
    <mergeCell ref="A42:I42"/>
    <mergeCell ref="A24:A25"/>
    <mergeCell ref="A26:A27"/>
    <mergeCell ref="A28:A29"/>
    <mergeCell ref="A30:A31"/>
    <mergeCell ref="A32:A33"/>
    <mergeCell ref="A22:A23"/>
    <mergeCell ref="I4:I6"/>
    <mergeCell ref="E5:E6"/>
    <mergeCell ref="F5:G5"/>
    <mergeCell ref="A7:I7"/>
    <mergeCell ref="A8:A9"/>
    <mergeCell ref="A10:A11"/>
    <mergeCell ref="A12:A13"/>
    <mergeCell ref="A14:A15"/>
    <mergeCell ref="A16:A17"/>
    <mergeCell ref="A18:A19"/>
    <mergeCell ref="A20:A21"/>
    <mergeCell ref="A1:I1"/>
    <mergeCell ref="A2:K2"/>
    <mergeCell ref="H3:I3"/>
    <mergeCell ref="A4:B6"/>
    <mergeCell ref="C4:C6"/>
    <mergeCell ref="D4:D6"/>
    <mergeCell ref="E4:G4"/>
    <mergeCell ref="H4:H6"/>
  </mergeCells>
  <hyperlinks>
    <hyperlink ref="H3" location="'Spis tablic'!A4" display="Powrót do spisu treści" xr:uid="{00000000-0004-0000-3600-000000000000}"/>
    <hyperlink ref="H3:I3" location="'Spis tablic  List of tables'!A81" display="'Spis tablic  List of tables'!A81" xr:uid="{00000000-0004-0000-3600-000001000000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Arkusz35"/>
  <dimension ref="A1:K44"/>
  <sheetViews>
    <sheetView zoomScaleNormal="100" workbookViewId="0">
      <pane ySplit="6" topLeftCell="A7" activePane="bottomLeft" state="frozen"/>
      <selection activeCell="V29" sqref="V29"/>
      <selection pane="bottomLeft" activeCell="A7" sqref="A7:A8"/>
    </sheetView>
  </sheetViews>
  <sheetFormatPr defaultColWidth="9.1796875" defaultRowHeight="14.5"/>
  <cols>
    <col min="1" max="1" width="20.54296875" style="50" customWidth="1"/>
    <col min="2" max="2" width="5.453125" style="50" customWidth="1"/>
    <col min="3" max="9" width="10.7265625" style="50" customWidth="1"/>
    <col min="10" max="16384" width="9.1796875" style="50"/>
  </cols>
  <sheetData>
    <row r="1" spans="1:11" s="39" customFormat="1" ht="30.65" customHeight="1">
      <c r="A1" s="574" t="s">
        <v>1370</v>
      </c>
      <c r="B1" s="574"/>
      <c r="C1" s="574"/>
      <c r="D1" s="574"/>
      <c r="E1" s="574"/>
      <c r="F1" s="574"/>
      <c r="G1" s="574"/>
      <c r="H1" s="574"/>
      <c r="I1" s="574"/>
      <c r="J1" s="64"/>
      <c r="K1" s="64"/>
    </row>
    <row r="2" spans="1:11" s="39" customFormat="1" ht="27.65" customHeight="1">
      <c r="A2" s="658" t="s">
        <v>935</v>
      </c>
      <c r="B2" s="658"/>
      <c r="C2" s="658"/>
      <c r="D2" s="658"/>
      <c r="E2" s="658"/>
      <c r="F2" s="658"/>
      <c r="G2" s="658"/>
      <c r="H2" s="658"/>
      <c r="I2" s="658"/>
      <c r="J2" s="169"/>
      <c r="K2" s="169"/>
    </row>
    <row r="3" spans="1:11" s="39" customFormat="1" ht="26.5" customHeight="1">
      <c r="A3" s="74"/>
      <c r="B3" s="74"/>
      <c r="C3" s="74"/>
      <c r="D3" s="74"/>
      <c r="E3" s="74"/>
      <c r="F3" s="74"/>
      <c r="G3" s="74"/>
      <c r="H3" s="537" t="s">
        <v>5</v>
      </c>
      <c r="I3" s="596"/>
      <c r="J3" s="74"/>
      <c r="K3" s="74"/>
    </row>
    <row r="4" spans="1:11" s="41" customFormat="1" ht="32.25" customHeight="1">
      <c r="A4" s="573" t="s">
        <v>1191</v>
      </c>
      <c r="B4" s="643"/>
      <c r="C4" s="569" t="s">
        <v>351</v>
      </c>
      <c r="D4" s="569" t="s">
        <v>352</v>
      </c>
      <c r="E4" s="569" t="s">
        <v>36</v>
      </c>
      <c r="F4" s="569"/>
      <c r="G4" s="569"/>
      <c r="H4" s="569" t="s">
        <v>353</v>
      </c>
      <c r="I4" s="543" t="s">
        <v>354</v>
      </c>
    </row>
    <row r="5" spans="1:11" s="41" customFormat="1" ht="32.25" customHeight="1">
      <c r="A5" s="573"/>
      <c r="B5" s="643"/>
      <c r="C5" s="569"/>
      <c r="D5" s="569"/>
      <c r="E5" s="569" t="s">
        <v>80</v>
      </c>
      <c r="F5" s="543" t="s">
        <v>355</v>
      </c>
      <c r="G5" s="624"/>
      <c r="H5" s="569"/>
      <c r="I5" s="607"/>
    </row>
    <row r="6" spans="1:11" s="41" customFormat="1" ht="63.75" customHeight="1">
      <c r="A6" s="548"/>
      <c r="B6" s="644"/>
      <c r="C6" s="539"/>
      <c r="D6" s="539"/>
      <c r="E6" s="539"/>
      <c r="F6" s="131" t="s">
        <v>356</v>
      </c>
      <c r="G6" s="131" t="s">
        <v>1143</v>
      </c>
      <c r="H6" s="539"/>
      <c r="I6" s="657"/>
      <c r="K6" s="48"/>
    </row>
    <row r="7" spans="1:11" s="41" customFormat="1" ht="14.25" customHeight="1">
      <c r="A7" s="593" t="s">
        <v>1393</v>
      </c>
      <c r="B7" s="115" t="s">
        <v>285</v>
      </c>
      <c r="C7" s="182">
        <v>18</v>
      </c>
      <c r="D7" s="182">
        <v>1520</v>
      </c>
      <c r="E7" s="182">
        <v>1336</v>
      </c>
      <c r="F7" s="182">
        <v>490</v>
      </c>
      <c r="G7" s="182">
        <v>399</v>
      </c>
      <c r="H7" s="182">
        <v>90</v>
      </c>
      <c r="I7" s="171">
        <v>4648</v>
      </c>
    </row>
    <row r="8" spans="1:11" s="41" customFormat="1" ht="14.25" customHeight="1">
      <c r="A8" s="593"/>
      <c r="B8" s="52" t="s">
        <v>286</v>
      </c>
      <c r="C8" s="202">
        <v>24</v>
      </c>
      <c r="D8" s="202">
        <v>1982</v>
      </c>
      <c r="E8" s="202">
        <v>1455</v>
      </c>
      <c r="F8" s="202">
        <v>399</v>
      </c>
      <c r="G8" s="202">
        <v>305</v>
      </c>
      <c r="H8" s="202">
        <v>113</v>
      </c>
      <c r="I8" s="206">
        <v>6820</v>
      </c>
    </row>
    <row r="9" spans="1:11" s="41" customFormat="1" ht="14.25" customHeight="1">
      <c r="A9" s="594" t="s">
        <v>49</v>
      </c>
      <c r="B9" s="115" t="s">
        <v>285</v>
      </c>
      <c r="C9" s="170" t="s">
        <v>1074</v>
      </c>
      <c r="D9" s="170" t="s">
        <v>1074</v>
      </c>
      <c r="E9" s="170" t="s">
        <v>1074</v>
      </c>
      <c r="F9" s="170" t="s">
        <v>1074</v>
      </c>
      <c r="G9" s="170" t="s">
        <v>1074</v>
      </c>
      <c r="H9" s="171" t="s">
        <v>1074</v>
      </c>
      <c r="I9" s="171" t="s">
        <v>1074</v>
      </c>
    </row>
    <row r="10" spans="1:11" s="41" customFormat="1" ht="14.25" customHeight="1">
      <c r="A10" s="594"/>
      <c r="B10" s="115" t="s">
        <v>286</v>
      </c>
      <c r="C10" s="170">
        <v>3</v>
      </c>
      <c r="D10" s="170">
        <v>259</v>
      </c>
      <c r="E10" s="170">
        <v>224</v>
      </c>
      <c r="F10" s="170">
        <v>42</v>
      </c>
      <c r="G10" s="170">
        <v>29</v>
      </c>
      <c r="H10" s="171">
        <v>13</v>
      </c>
      <c r="I10" s="171">
        <v>535</v>
      </c>
    </row>
    <row r="11" spans="1:11" s="41" customFormat="1" ht="14.25" customHeight="1">
      <c r="A11" s="594" t="s">
        <v>50</v>
      </c>
      <c r="B11" s="115" t="s">
        <v>285</v>
      </c>
      <c r="C11" s="204">
        <v>3</v>
      </c>
      <c r="D11" s="204">
        <v>215</v>
      </c>
      <c r="E11" s="204">
        <v>137</v>
      </c>
      <c r="F11" s="204">
        <v>82</v>
      </c>
      <c r="G11" s="170">
        <v>31</v>
      </c>
      <c r="H11" s="204">
        <v>1</v>
      </c>
      <c r="I11" s="171">
        <v>138</v>
      </c>
    </row>
    <row r="12" spans="1:11" s="41" customFormat="1" ht="14.25" customHeight="1">
      <c r="A12" s="594"/>
      <c r="B12" s="115" t="s">
        <v>286</v>
      </c>
      <c r="C12" s="204">
        <v>2</v>
      </c>
      <c r="D12" s="204">
        <v>164</v>
      </c>
      <c r="E12" s="204">
        <v>50</v>
      </c>
      <c r="F12" s="204">
        <v>12</v>
      </c>
      <c r="G12" s="170">
        <v>15</v>
      </c>
      <c r="H12" s="204">
        <v>1</v>
      </c>
      <c r="I12" s="171">
        <v>141</v>
      </c>
    </row>
    <row r="13" spans="1:11" s="41" customFormat="1" ht="14.25" customHeight="1">
      <c r="A13" s="594" t="s">
        <v>51</v>
      </c>
      <c r="B13" s="115" t="s">
        <v>285</v>
      </c>
      <c r="C13" s="224" t="s">
        <v>1074</v>
      </c>
      <c r="D13" s="224" t="s">
        <v>1074</v>
      </c>
      <c r="E13" s="224" t="s">
        <v>1074</v>
      </c>
      <c r="F13" s="224" t="s">
        <v>1074</v>
      </c>
      <c r="G13" s="224" t="s">
        <v>1074</v>
      </c>
      <c r="H13" s="224" t="s">
        <v>1074</v>
      </c>
      <c r="I13" s="224" t="s">
        <v>1074</v>
      </c>
    </row>
    <row r="14" spans="1:11" s="41" customFormat="1" ht="14.25" customHeight="1">
      <c r="A14" s="594"/>
      <c r="B14" s="115" t="s">
        <v>286</v>
      </c>
      <c r="C14" s="204">
        <v>1</v>
      </c>
      <c r="D14" s="204">
        <v>152</v>
      </c>
      <c r="E14" s="204">
        <v>78</v>
      </c>
      <c r="F14" s="204">
        <v>30</v>
      </c>
      <c r="G14" s="204">
        <v>11</v>
      </c>
      <c r="H14" s="204">
        <v>6</v>
      </c>
      <c r="I14" s="171">
        <v>358</v>
      </c>
    </row>
    <row r="15" spans="1:11" s="41" customFormat="1" ht="14.25" customHeight="1">
      <c r="A15" s="594" t="s">
        <v>52</v>
      </c>
      <c r="B15" s="115" t="s">
        <v>285</v>
      </c>
      <c r="C15" s="204" t="s">
        <v>1074</v>
      </c>
      <c r="D15" s="204" t="s">
        <v>1074</v>
      </c>
      <c r="E15" s="204" t="s">
        <v>1074</v>
      </c>
      <c r="F15" s="204" t="s">
        <v>1074</v>
      </c>
      <c r="G15" s="204" t="s">
        <v>1074</v>
      </c>
      <c r="H15" s="204" t="s">
        <v>1074</v>
      </c>
      <c r="I15" s="171" t="s">
        <v>1074</v>
      </c>
    </row>
    <row r="16" spans="1:11" s="41" customFormat="1" ht="14.25" customHeight="1">
      <c r="A16" s="594"/>
      <c r="B16" s="115" t="s">
        <v>286</v>
      </c>
      <c r="C16" s="204">
        <v>2</v>
      </c>
      <c r="D16" s="204">
        <v>257</v>
      </c>
      <c r="E16" s="204">
        <v>209</v>
      </c>
      <c r="F16" s="204">
        <v>48</v>
      </c>
      <c r="G16" s="204">
        <v>39</v>
      </c>
      <c r="H16" s="204">
        <v>27</v>
      </c>
      <c r="I16" s="171">
        <v>2413</v>
      </c>
    </row>
    <row r="17" spans="1:9" s="41" customFormat="1" ht="14.25" customHeight="1">
      <c r="A17" s="594" t="s">
        <v>54</v>
      </c>
      <c r="B17" s="115" t="s">
        <v>285</v>
      </c>
      <c r="C17" s="204">
        <v>2</v>
      </c>
      <c r="D17" s="204">
        <v>146</v>
      </c>
      <c r="E17" s="204">
        <v>113</v>
      </c>
      <c r="F17" s="204">
        <v>33</v>
      </c>
      <c r="G17" s="204">
        <v>24</v>
      </c>
      <c r="H17" s="204">
        <v>4</v>
      </c>
      <c r="I17" s="171">
        <v>403</v>
      </c>
    </row>
    <row r="18" spans="1:9" s="41" customFormat="1" ht="14.25" customHeight="1">
      <c r="A18" s="594"/>
      <c r="B18" s="115" t="s">
        <v>286</v>
      </c>
      <c r="C18" s="204">
        <v>2</v>
      </c>
      <c r="D18" s="204">
        <v>120</v>
      </c>
      <c r="E18" s="204">
        <v>80</v>
      </c>
      <c r="F18" s="204">
        <v>25</v>
      </c>
      <c r="G18" s="204">
        <v>20</v>
      </c>
      <c r="H18" s="204">
        <v>2</v>
      </c>
      <c r="I18" s="171">
        <v>200</v>
      </c>
    </row>
    <row r="19" spans="1:9" s="41" customFormat="1" ht="14.25" customHeight="1">
      <c r="A19" s="594" t="s">
        <v>55</v>
      </c>
      <c r="B19" s="115" t="s">
        <v>285</v>
      </c>
      <c r="C19" s="224">
        <v>1</v>
      </c>
      <c r="D19" s="224">
        <v>96</v>
      </c>
      <c r="E19" s="224">
        <v>95</v>
      </c>
      <c r="F19" s="224">
        <v>18</v>
      </c>
      <c r="G19" s="224">
        <v>21</v>
      </c>
      <c r="H19" s="224">
        <v>14</v>
      </c>
      <c r="I19" s="224">
        <v>227</v>
      </c>
    </row>
    <row r="20" spans="1:9" s="41" customFormat="1" ht="14.25" customHeight="1">
      <c r="A20" s="594"/>
      <c r="B20" s="115" t="s">
        <v>286</v>
      </c>
      <c r="C20" s="204">
        <v>3</v>
      </c>
      <c r="D20" s="204">
        <v>115</v>
      </c>
      <c r="E20" s="204">
        <v>105</v>
      </c>
      <c r="F20" s="204">
        <v>20</v>
      </c>
      <c r="G20" s="204">
        <v>29</v>
      </c>
      <c r="H20" s="204">
        <v>10</v>
      </c>
      <c r="I20" s="171">
        <v>215</v>
      </c>
    </row>
    <row r="21" spans="1:9" s="41" customFormat="1" ht="14.25" customHeight="1">
      <c r="A21" s="594" t="s">
        <v>56</v>
      </c>
      <c r="B21" s="115" t="s">
        <v>285</v>
      </c>
      <c r="C21" s="170" t="s">
        <v>1074</v>
      </c>
      <c r="D21" s="170" t="s">
        <v>1074</v>
      </c>
      <c r="E21" s="170" t="s">
        <v>1074</v>
      </c>
      <c r="F21" s="170" t="s">
        <v>1074</v>
      </c>
      <c r="G21" s="170" t="s">
        <v>1074</v>
      </c>
      <c r="H21" s="171" t="s">
        <v>1074</v>
      </c>
      <c r="I21" s="171" t="s">
        <v>1074</v>
      </c>
    </row>
    <row r="22" spans="1:9" s="41" customFormat="1" ht="14.25" customHeight="1">
      <c r="A22" s="594"/>
      <c r="B22" s="115" t="s">
        <v>286</v>
      </c>
      <c r="C22" s="170" t="s">
        <v>1074</v>
      </c>
      <c r="D22" s="170" t="s">
        <v>1074</v>
      </c>
      <c r="E22" s="170" t="s">
        <v>1074</v>
      </c>
      <c r="F22" s="170" t="s">
        <v>1074</v>
      </c>
      <c r="G22" s="170" t="s">
        <v>1074</v>
      </c>
      <c r="H22" s="171" t="s">
        <v>1074</v>
      </c>
      <c r="I22" s="171" t="s">
        <v>1074</v>
      </c>
    </row>
    <row r="23" spans="1:9" s="41" customFormat="1" ht="14.25" customHeight="1">
      <c r="A23" s="594" t="s">
        <v>57</v>
      </c>
      <c r="B23" s="115" t="s">
        <v>285</v>
      </c>
      <c r="C23" s="170" t="s">
        <v>1074</v>
      </c>
      <c r="D23" s="170" t="s">
        <v>1074</v>
      </c>
      <c r="E23" s="170" t="s">
        <v>1074</v>
      </c>
      <c r="F23" s="170" t="s">
        <v>1074</v>
      </c>
      <c r="G23" s="170" t="s">
        <v>1074</v>
      </c>
      <c r="H23" s="171" t="s">
        <v>1074</v>
      </c>
      <c r="I23" s="171" t="s">
        <v>1074</v>
      </c>
    </row>
    <row r="24" spans="1:9" s="41" customFormat="1" ht="14.25" customHeight="1">
      <c r="A24" s="594"/>
      <c r="B24" s="115" t="s">
        <v>286</v>
      </c>
      <c r="C24" s="170">
        <v>1</v>
      </c>
      <c r="D24" s="170">
        <v>28</v>
      </c>
      <c r="E24" s="170">
        <v>17</v>
      </c>
      <c r="F24" s="170">
        <v>1</v>
      </c>
      <c r="G24" s="170" t="s">
        <v>1074</v>
      </c>
      <c r="H24" s="171">
        <v>1</v>
      </c>
      <c r="I24" s="171">
        <v>53</v>
      </c>
    </row>
    <row r="25" spans="1:9" s="41" customFormat="1" ht="14.25" customHeight="1">
      <c r="A25" s="594" t="s">
        <v>58</v>
      </c>
      <c r="B25" s="115" t="s">
        <v>285</v>
      </c>
      <c r="C25" s="170">
        <v>1</v>
      </c>
      <c r="D25" s="170">
        <v>265</v>
      </c>
      <c r="E25" s="170">
        <v>265</v>
      </c>
      <c r="F25" s="170">
        <v>90</v>
      </c>
      <c r="G25" s="170">
        <v>183</v>
      </c>
      <c r="H25" s="171">
        <v>6</v>
      </c>
      <c r="I25" s="171">
        <v>230</v>
      </c>
    </row>
    <row r="26" spans="1:9" s="41" customFormat="1" ht="14.25" customHeight="1">
      <c r="A26" s="594"/>
      <c r="B26" s="115" t="s">
        <v>286</v>
      </c>
      <c r="C26" s="170" t="s">
        <v>1074</v>
      </c>
      <c r="D26" s="170" t="s">
        <v>1074</v>
      </c>
      <c r="E26" s="170" t="s">
        <v>1074</v>
      </c>
      <c r="F26" s="170" t="s">
        <v>1074</v>
      </c>
      <c r="G26" s="170" t="s">
        <v>1074</v>
      </c>
      <c r="H26" s="171" t="s">
        <v>1074</v>
      </c>
      <c r="I26" s="171" t="s">
        <v>1074</v>
      </c>
    </row>
    <row r="27" spans="1:9" s="41" customFormat="1" ht="14.25" customHeight="1">
      <c r="A27" s="594" t="s">
        <v>59</v>
      </c>
      <c r="B27" s="115" t="s">
        <v>285</v>
      </c>
      <c r="C27" s="204">
        <v>2</v>
      </c>
      <c r="D27" s="204">
        <v>81</v>
      </c>
      <c r="E27" s="204">
        <v>59</v>
      </c>
      <c r="F27" s="204">
        <v>11</v>
      </c>
      <c r="G27" s="204">
        <v>4</v>
      </c>
      <c r="H27" s="204">
        <v>16</v>
      </c>
      <c r="I27" s="171">
        <v>176</v>
      </c>
    </row>
    <row r="28" spans="1:9" s="41" customFormat="1" ht="14.25" customHeight="1">
      <c r="A28" s="594"/>
      <c r="B28" s="115" t="s">
        <v>286</v>
      </c>
      <c r="C28" s="204">
        <v>2</v>
      </c>
      <c r="D28" s="204">
        <v>80</v>
      </c>
      <c r="E28" s="204">
        <v>60</v>
      </c>
      <c r="F28" s="204">
        <v>21</v>
      </c>
      <c r="G28" s="204">
        <v>15</v>
      </c>
      <c r="H28" s="204">
        <v>4</v>
      </c>
      <c r="I28" s="171">
        <v>427</v>
      </c>
    </row>
    <row r="29" spans="1:9" s="41" customFormat="1" ht="14.25" customHeight="1">
      <c r="A29" s="594" t="s">
        <v>60</v>
      </c>
      <c r="B29" s="115" t="s">
        <v>285</v>
      </c>
      <c r="C29" s="204">
        <v>3</v>
      </c>
      <c r="D29" s="204">
        <v>222</v>
      </c>
      <c r="E29" s="204">
        <v>196</v>
      </c>
      <c r="F29" s="204">
        <v>65</v>
      </c>
      <c r="G29" s="204">
        <v>83</v>
      </c>
      <c r="H29" s="204">
        <v>17</v>
      </c>
      <c r="I29" s="171">
        <v>2212</v>
      </c>
    </row>
    <row r="30" spans="1:9" s="41" customFormat="1" ht="14.25" customHeight="1">
      <c r="A30" s="594"/>
      <c r="B30" s="115" t="s">
        <v>286</v>
      </c>
      <c r="C30" s="204">
        <v>3</v>
      </c>
      <c r="D30" s="204">
        <v>182</v>
      </c>
      <c r="E30" s="204">
        <v>182</v>
      </c>
      <c r="F30" s="204">
        <v>55</v>
      </c>
      <c r="G30" s="204">
        <v>81</v>
      </c>
      <c r="H30" s="204">
        <v>25</v>
      </c>
      <c r="I30" s="171">
        <v>839</v>
      </c>
    </row>
    <row r="31" spans="1:9" s="41" customFormat="1" ht="14.25" customHeight="1">
      <c r="A31" s="594" t="s">
        <v>61</v>
      </c>
      <c r="B31" s="115" t="s">
        <v>285</v>
      </c>
      <c r="C31" s="170">
        <v>1</v>
      </c>
      <c r="D31" s="170">
        <v>45</v>
      </c>
      <c r="E31" s="170">
        <v>45</v>
      </c>
      <c r="F31" s="170">
        <v>17</v>
      </c>
      <c r="G31" s="170">
        <v>7</v>
      </c>
      <c r="H31" s="171">
        <v>7</v>
      </c>
      <c r="I31" s="171">
        <v>725</v>
      </c>
    </row>
    <row r="32" spans="1:9" s="41" customFormat="1" ht="14.25" customHeight="1">
      <c r="A32" s="594"/>
      <c r="B32" s="115" t="s">
        <v>286</v>
      </c>
      <c r="C32" s="170">
        <v>1</v>
      </c>
      <c r="D32" s="170">
        <v>11</v>
      </c>
      <c r="E32" s="170">
        <v>10</v>
      </c>
      <c r="F32" s="170">
        <v>1</v>
      </c>
      <c r="G32" s="170">
        <v>0</v>
      </c>
      <c r="H32" s="171">
        <v>0</v>
      </c>
      <c r="I32" s="171">
        <v>0</v>
      </c>
    </row>
    <row r="33" spans="1:9" s="41" customFormat="1" ht="14.25" customHeight="1">
      <c r="A33" s="594" t="s">
        <v>62</v>
      </c>
      <c r="B33" s="115" t="s">
        <v>285</v>
      </c>
      <c r="C33" s="204">
        <v>3</v>
      </c>
      <c r="D33" s="204">
        <v>296</v>
      </c>
      <c r="E33" s="204">
        <v>296</v>
      </c>
      <c r="F33" s="204">
        <v>132</v>
      </c>
      <c r="G33" s="170">
        <v>23</v>
      </c>
      <c r="H33" s="204">
        <v>25</v>
      </c>
      <c r="I33" s="171">
        <v>518</v>
      </c>
    </row>
    <row r="34" spans="1:9" s="41" customFormat="1" ht="14.25" customHeight="1">
      <c r="A34" s="594"/>
      <c r="B34" s="115" t="s">
        <v>286</v>
      </c>
      <c r="C34" s="224">
        <v>3</v>
      </c>
      <c r="D34" s="224">
        <v>214</v>
      </c>
      <c r="E34" s="224">
        <v>195</v>
      </c>
      <c r="F34" s="224">
        <v>62</v>
      </c>
      <c r="G34" s="170">
        <v>55</v>
      </c>
      <c r="H34" s="224">
        <v>13</v>
      </c>
      <c r="I34" s="224">
        <v>479</v>
      </c>
    </row>
    <row r="35" spans="1:9" s="41" customFormat="1" ht="14.25" customHeight="1">
      <c r="A35" s="594" t="s">
        <v>63</v>
      </c>
      <c r="B35" s="115" t="s">
        <v>285</v>
      </c>
      <c r="C35" s="204">
        <v>1</v>
      </c>
      <c r="D35" s="204">
        <v>120</v>
      </c>
      <c r="E35" s="204">
        <v>100</v>
      </c>
      <c r="F35" s="204">
        <v>36</v>
      </c>
      <c r="G35" s="204">
        <v>14</v>
      </c>
      <c r="H35" s="204" t="s">
        <v>1074</v>
      </c>
      <c r="I35" s="171" t="s">
        <v>1074</v>
      </c>
    </row>
    <row r="36" spans="1:9" s="41" customFormat="1" ht="14.25" customHeight="1">
      <c r="A36" s="594"/>
      <c r="B36" s="115" t="s">
        <v>286</v>
      </c>
      <c r="C36" s="204">
        <v>1</v>
      </c>
      <c r="D36" s="204">
        <v>105</v>
      </c>
      <c r="E36" s="204">
        <v>79</v>
      </c>
      <c r="F36" s="204">
        <v>25</v>
      </c>
      <c r="G36" s="204">
        <v>8</v>
      </c>
      <c r="H36" s="224" t="s">
        <v>1074</v>
      </c>
      <c r="I36" s="224" t="s">
        <v>1074</v>
      </c>
    </row>
    <row r="37" spans="1:9" s="41" customFormat="1" ht="14.25" customHeight="1">
      <c r="A37" s="594" t="s">
        <v>64</v>
      </c>
      <c r="B37" s="115" t="s">
        <v>285</v>
      </c>
      <c r="C37" s="204">
        <v>1</v>
      </c>
      <c r="D37" s="204">
        <v>34</v>
      </c>
      <c r="E37" s="204">
        <v>30</v>
      </c>
      <c r="F37" s="204">
        <v>6</v>
      </c>
      <c r="G37" s="204">
        <v>9</v>
      </c>
      <c r="H37" s="204" t="s">
        <v>1074</v>
      </c>
      <c r="I37" s="171">
        <v>19</v>
      </c>
    </row>
    <row r="38" spans="1:9" s="41" customFormat="1" ht="14.25" customHeight="1">
      <c r="A38" s="594"/>
      <c r="B38" s="115" t="s">
        <v>286</v>
      </c>
      <c r="C38" s="204">
        <v>1</v>
      </c>
      <c r="D38" s="204">
        <v>295</v>
      </c>
      <c r="E38" s="204">
        <v>166</v>
      </c>
      <c r="F38" s="204">
        <v>57</v>
      </c>
      <c r="G38" s="204">
        <v>3</v>
      </c>
      <c r="H38" s="204">
        <v>11</v>
      </c>
      <c r="I38" s="171">
        <v>1160</v>
      </c>
    </row>
    <row r="40" spans="1:9">
      <c r="C40" s="245"/>
      <c r="D40" s="245"/>
      <c r="E40" s="245"/>
      <c r="F40" s="245"/>
      <c r="G40" s="245"/>
      <c r="H40" s="245"/>
      <c r="I40" s="245"/>
    </row>
    <row r="41" spans="1:9">
      <c r="C41" s="245"/>
      <c r="D41" s="245"/>
      <c r="E41" s="245"/>
      <c r="F41" s="245"/>
      <c r="G41" s="245"/>
      <c r="H41" s="245"/>
      <c r="I41" s="245"/>
    </row>
    <row r="43" spans="1:9">
      <c r="C43" s="245"/>
      <c r="D43" s="245"/>
      <c r="E43" s="245"/>
      <c r="F43" s="245"/>
      <c r="G43" s="245"/>
      <c r="H43" s="245"/>
      <c r="I43" s="245"/>
    </row>
    <row r="44" spans="1:9">
      <c r="C44" s="245"/>
      <c r="D44" s="245"/>
      <c r="E44" s="245"/>
      <c r="F44" s="245"/>
      <c r="G44" s="245"/>
      <c r="H44" s="245"/>
      <c r="I44" s="245"/>
    </row>
  </sheetData>
  <mergeCells count="27">
    <mergeCell ref="A35:A36"/>
    <mergeCell ref="A37:A38"/>
    <mergeCell ref="A23:A24"/>
    <mergeCell ref="A25:A26"/>
    <mergeCell ref="A27:A28"/>
    <mergeCell ref="A29:A30"/>
    <mergeCell ref="A31:A32"/>
    <mergeCell ref="A33:A34"/>
    <mergeCell ref="A21:A22"/>
    <mergeCell ref="I4:I6"/>
    <mergeCell ref="E5:E6"/>
    <mergeCell ref="F5:G5"/>
    <mergeCell ref="A7:A8"/>
    <mergeCell ref="A9:A10"/>
    <mergeCell ref="A11:A12"/>
    <mergeCell ref="A13:A14"/>
    <mergeCell ref="A15:A16"/>
    <mergeCell ref="A17:A18"/>
    <mergeCell ref="A19:A20"/>
    <mergeCell ref="A1:I1"/>
    <mergeCell ref="H3:I3"/>
    <mergeCell ref="A4:B6"/>
    <mergeCell ref="C4:C6"/>
    <mergeCell ref="D4:D6"/>
    <mergeCell ref="E4:G4"/>
    <mergeCell ref="H4:H6"/>
    <mergeCell ref="A2:I2"/>
  </mergeCells>
  <hyperlinks>
    <hyperlink ref="H3" location="'Spis tablic'!A4" display="Powrót do spisu treści" xr:uid="{00000000-0004-0000-3700-000000000000}"/>
    <hyperlink ref="H3:I3" location="'Spis tablic  List of tables'!A83" display="'Spis tablic  List of tables'!A83" xr:uid="{00000000-0004-0000-3700-000001000000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Arkusz36"/>
  <dimension ref="A1:Q40"/>
  <sheetViews>
    <sheetView zoomScaleNormal="100" workbookViewId="0">
      <pane ySplit="6" topLeftCell="A7" activePane="bottomLeft" state="frozen"/>
      <selection activeCell="V29" sqref="V29"/>
      <selection pane="bottomLeft" activeCell="H3" sqref="H3:I3"/>
    </sheetView>
  </sheetViews>
  <sheetFormatPr defaultColWidth="9.1796875" defaultRowHeight="14.5"/>
  <cols>
    <col min="1" max="1" width="19.453125" style="50" customWidth="1"/>
    <col min="2" max="2" width="5.453125" style="50" customWidth="1"/>
    <col min="3" max="9" width="10.7265625" style="50" customWidth="1"/>
    <col min="10" max="16384" width="9.1796875" style="50"/>
  </cols>
  <sheetData>
    <row r="1" spans="1:17" s="39" customFormat="1" ht="22.5" customHeight="1">
      <c r="A1" s="574" t="s">
        <v>1371</v>
      </c>
      <c r="B1" s="574"/>
      <c r="C1" s="574"/>
      <c r="D1" s="574"/>
      <c r="E1" s="574"/>
      <c r="F1" s="574"/>
      <c r="G1" s="574"/>
      <c r="H1" s="574"/>
      <c r="I1" s="574"/>
      <c r="J1" s="64"/>
      <c r="K1" s="64"/>
    </row>
    <row r="2" spans="1:17" s="39" customFormat="1" ht="14.25" customHeight="1">
      <c r="A2" s="556" t="s">
        <v>936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</row>
    <row r="3" spans="1:17" s="39" customFormat="1" ht="26.5" customHeight="1">
      <c r="A3" s="74"/>
      <c r="B3" s="74"/>
      <c r="C3" s="74"/>
      <c r="D3" s="74"/>
      <c r="E3" s="74"/>
      <c r="F3" s="74"/>
      <c r="G3" s="74"/>
      <c r="H3" s="537" t="s">
        <v>5</v>
      </c>
      <c r="I3" s="596"/>
      <c r="J3" s="74"/>
      <c r="K3" s="74"/>
    </row>
    <row r="4" spans="1:17" s="41" customFormat="1" ht="32.25" customHeight="1">
      <c r="A4" s="573" t="s">
        <v>1191</v>
      </c>
      <c r="B4" s="643"/>
      <c r="C4" s="569" t="s">
        <v>351</v>
      </c>
      <c r="D4" s="569" t="s">
        <v>352</v>
      </c>
      <c r="E4" s="569" t="s">
        <v>36</v>
      </c>
      <c r="F4" s="569"/>
      <c r="G4" s="569"/>
      <c r="H4" s="569" t="s">
        <v>353</v>
      </c>
      <c r="I4" s="543" t="s">
        <v>354</v>
      </c>
    </row>
    <row r="5" spans="1:17" s="41" customFormat="1" ht="32.25" customHeight="1">
      <c r="A5" s="573"/>
      <c r="B5" s="643"/>
      <c r="C5" s="569"/>
      <c r="D5" s="569"/>
      <c r="E5" s="569" t="s">
        <v>80</v>
      </c>
      <c r="F5" s="543" t="s">
        <v>355</v>
      </c>
      <c r="G5" s="624"/>
      <c r="H5" s="569"/>
      <c r="I5" s="607"/>
    </row>
    <row r="6" spans="1:17" s="41" customFormat="1" ht="63.75" customHeight="1">
      <c r="A6" s="548"/>
      <c r="B6" s="644"/>
      <c r="C6" s="539"/>
      <c r="D6" s="539"/>
      <c r="E6" s="539"/>
      <c r="F6" s="131" t="s">
        <v>356</v>
      </c>
      <c r="G6" s="131" t="s">
        <v>1143</v>
      </c>
      <c r="H6" s="539"/>
      <c r="I6" s="657"/>
      <c r="K6" s="48"/>
    </row>
    <row r="7" spans="1:17" s="41" customFormat="1" ht="14.25" customHeight="1">
      <c r="A7" s="593" t="s">
        <v>1395</v>
      </c>
      <c r="B7" s="115" t="s">
        <v>285</v>
      </c>
      <c r="C7" s="182">
        <v>381</v>
      </c>
      <c r="D7" s="182">
        <v>50447</v>
      </c>
      <c r="E7" s="182">
        <v>73472</v>
      </c>
      <c r="F7" s="182">
        <v>35460</v>
      </c>
      <c r="G7" s="182">
        <v>11112</v>
      </c>
      <c r="H7" s="182">
        <v>5801</v>
      </c>
      <c r="I7" s="171">
        <v>889790</v>
      </c>
      <c r="K7" s="134"/>
      <c r="L7" s="134"/>
      <c r="M7" s="134"/>
      <c r="N7" s="134"/>
      <c r="O7" s="134"/>
      <c r="P7" s="134"/>
      <c r="Q7" s="134"/>
    </row>
    <row r="8" spans="1:17" s="41" customFormat="1" ht="14.25" customHeight="1">
      <c r="A8" s="593"/>
      <c r="B8" s="52" t="s">
        <v>286</v>
      </c>
      <c r="C8" s="202">
        <v>351</v>
      </c>
      <c r="D8" s="202">
        <v>47036</v>
      </c>
      <c r="E8" s="202">
        <v>76878</v>
      </c>
      <c r="F8" s="202">
        <v>35773</v>
      </c>
      <c r="G8" s="202">
        <v>15375</v>
      </c>
      <c r="H8" s="202">
        <v>5745</v>
      </c>
      <c r="I8" s="206">
        <v>585604</v>
      </c>
    </row>
    <row r="9" spans="1:17" s="41" customFormat="1" ht="14.25" customHeight="1">
      <c r="A9" s="594" t="s">
        <v>49</v>
      </c>
      <c r="B9" s="115" t="s">
        <v>285</v>
      </c>
      <c r="C9" s="204">
        <v>53</v>
      </c>
      <c r="D9" s="204">
        <v>3912</v>
      </c>
      <c r="E9" s="204">
        <v>2400</v>
      </c>
      <c r="F9" s="204">
        <v>1312</v>
      </c>
      <c r="G9" s="170" t="s">
        <v>1074</v>
      </c>
      <c r="H9" s="204">
        <v>237</v>
      </c>
      <c r="I9" s="171">
        <v>9800</v>
      </c>
      <c r="K9" s="134"/>
      <c r="L9" s="134"/>
      <c r="M9" s="134"/>
      <c r="N9" s="134"/>
      <c r="O9" s="134"/>
      <c r="P9" s="134"/>
      <c r="Q9" s="134"/>
    </row>
    <row r="10" spans="1:17" s="41" customFormat="1" ht="14.25" customHeight="1">
      <c r="A10" s="594"/>
      <c r="B10" s="115" t="s">
        <v>286</v>
      </c>
      <c r="C10" s="204">
        <v>51</v>
      </c>
      <c r="D10" s="204">
        <v>3873</v>
      </c>
      <c r="E10" s="204">
        <v>2480</v>
      </c>
      <c r="F10" s="204">
        <v>1340</v>
      </c>
      <c r="G10" s="170" t="s">
        <v>1074</v>
      </c>
      <c r="H10" s="204">
        <v>242</v>
      </c>
      <c r="I10" s="171">
        <v>9950</v>
      </c>
    </row>
    <row r="11" spans="1:17" s="41" customFormat="1" ht="14.25" customHeight="1">
      <c r="A11" s="594" t="s">
        <v>50</v>
      </c>
      <c r="B11" s="115" t="s">
        <v>285</v>
      </c>
      <c r="C11" s="204">
        <v>22</v>
      </c>
      <c r="D11" s="204">
        <v>1425</v>
      </c>
      <c r="E11" s="204">
        <v>4620</v>
      </c>
      <c r="F11" s="204">
        <v>2420</v>
      </c>
      <c r="G11" s="204">
        <v>417</v>
      </c>
      <c r="H11" s="204">
        <v>471</v>
      </c>
      <c r="I11" s="171">
        <v>241500</v>
      </c>
    </row>
    <row r="12" spans="1:17" s="41" customFormat="1" ht="14.25" customHeight="1">
      <c r="A12" s="594"/>
      <c r="B12" s="115" t="s">
        <v>286</v>
      </c>
      <c r="C12" s="204">
        <v>24</v>
      </c>
      <c r="D12" s="204">
        <v>1670</v>
      </c>
      <c r="E12" s="204">
        <v>5120</v>
      </c>
      <c r="F12" s="204">
        <v>3020</v>
      </c>
      <c r="G12" s="204">
        <v>657</v>
      </c>
      <c r="H12" s="204">
        <v>549</v>
      </c>
      <c r="I12" s="171">
        <v>256240</v>
      </c>
    </row>
    <row r="13" spans="1:17" s="41" customFormat="1" ht="14.25" customHeight="1">
      <c r="A13" s="594" t="s">
        <v>51</v>
      </c>
      <c r="B13" s="115" t="s">
        <v>285</v>
      </c>
      <c r="C13" s="204">
        <v>19</v>
      </c>
      <c r="D13" s="204">
        <v>2350</v>
      </c>
      <c r="E13" s="204">
        <v>5110</v>
      </c>
      <c r="F13" s="204">
        <v>1240</v>
      </c>
      <c r="G13" s="204">
        <v>2500</v>
      </c>
      <c r="H13" s="204">
        <v>420</v>
      </c>
      <c r="I13" s="171">
        <v>54600</v>
      </c>
    </row>
    <row r="14" spans="1:17" s="41" customFormat="1" ht="14.25" customHeight="1">
      <c r="A14" s="594"/>
      <c r="B14" s="115" t="s">
        <v>286</v>
      </c>
      <c r="C14" s="204">
        <v>15</v>
      </c>
      <c r="D14" s="204">
        <v>2920</v>
      </c>
      <c r="E14" s="204">
        <v>5680</v>
      </c>
      <c r="F14" s="204">
        <v>1700</v>
      </c>
      <c r="G14" s="204">
        <v>2300</v>
      </c>
      <c r="H14" s="204">
        <v>510</v>
      </c>
      <c r="I14" s="171">
        <v>57100</v>
      </c>
    </row>
    <row r="15" spans="1:17" s="41" customFormat="1" ht="14.25" customHeight="1">
      <c r="A15" s="594" t="s">
        <v>52</v>
      </c>
      <c r="B15" s="115" t="s">
        <v>285</v>
      </c>
      <c r="C15" s="204">
        <v>8</v>
      </c>
      <c r="D15" s="204">
        <v>385</v>
      </c>
      <c r="E15" s="204">
        <v>329</v>
      </c>
      <c r="F15" s="204">
        <v>95</v>
      </c>
      <c r="G15" s="204">
        <v>22</v>
      </c>
      <c r="H15" s="204">
        <v>25</v>
      </c>
      <c r="I15" s="171">
        <v>950</v>
      </c>
    </row>
    <row r="16" spans="1:17" s="41" customFormat="1" ht="14.25" customHeight="1">
      <c r="A16" s="594"/>
      <c r="B16" s="115" t="s">
        <v>286</v>
      </c>
      <c r="C16" s="204">
        <v>8</v>
      </c>
      <c r="D16" s="204">
        <v>363</v>
      </c>
      <c r="E16" s="204">
        <v>307</v>
      </c>
      <c r="F16" s="204">
        <v>90</v>
      </c>
      <c r="G16" s="170" t="s">
        <v>1074</v>
      </c>
      <c r="H16" s="204">
        <v>23</v>
      </c>
      <c r="I16" s="171">
        <v>830</v>
      </c>
    </row>
    <row r="17" spans="1:9" s="41" customFormat="1" ht="14.25" customHeight="1">
      <c r="A17" s="594" t="s">
        <v>53</v>
      </c>
      <c r="B17" s="115" t="s">
        <v>285</v>
      </c>
      <c r="C17" s="204">
        <v>7</v>
      </c>
      <c r="D17" s="204">
        <v>1511</v>
      </c>
      <c r="E17" s="204">
        <v>2624</v>
      </c>
      <c r="F17" s="204">
        <v>557</v>
      </c>
      <c r="G17" s="204">
        <v>712</v>
      </c>
      <c r="H17" s="204">
        <v>11</v>
      </c>
      <c r="I17" s="171">
        <v>954</v>
      </c>
    </row>
    <row r="18" spans="1:9" s="41" customFormat="1" ht="14.25" customHeight="1">
      <c r="A18" s="594"/>
      <c r="B18" s="115" t="s">
        <v>286</v>
      </c>
      <c r="C18" s="204">
        <v>6</v>
      </c>
      <c r="D18" s="204">
        <v>1425</v>
      </c>
      <c r="E18" s="204">
        <v>2540</v>
      </c>
      <c r="F18" s="204">
        <v>554</v>
      </c>
      <c r="G18" s="204">
        <v>698</v>
      </c>
      <c r="H18" s="204">
        <v>11</v>
      </c>
      <c r="I18" s="171">
        <v>954</v>
      </c>
    </row>
    <row r="19" spans="1:9" s="41" customFormat="1" ht="14.25" customHeight="1">
      <c r="A19" s="594" t="s">
        <v>54</v>
      </c>
      <c r="B19" s="115" t="s">
        <v>285</v>
      </c>
      <c r="C19" s="204">
        <v>31</v>
      </c>
      <c r="D19" s="204">
        <v>1508</v>
      </c>
      <c r="E19" s="204">
        <v>2477</v>
      </c>
      <c r="F19" s="204">
        <v>706</v>
      </c>
      <c r="G19" s="204">
        <v>595</v>
      </c>
      <c r="H19" s="204">
        <v>386</v>
      </c>
      <c r="I19" s="171">
        <v>14415</v>
      </c>
    </row>
    <row r="20" spans="1:9" s="41" customFormat="1" ht="14.25" customHeight="1">
      <c r="A20" s="594"/>
      <c r="B20" s="115" t="s">
        <v>286</v>
      </c>
      <c r="C20" s="204">
        <v>25</v>
      </c>
      <c r="D20" s="204">
        <v>1818</v>
      </c>
      <c r="E20" s="204">
        <v>3345</v>
      </c>
      <c r="F20" s="204">
        <v>951</v>
      </c>
      <c r="G20" s="204">
        <v>3243</v>
      </c>
      <c r="H20" s="204">
        <v>352</v>
      </c>
      <c r="I20" s="171">
        <v>12815</v>
      </c>
    </row>
    <row r="21" spans="1:9" s="41" customFormat="1" ht="14.25" customHeight="1">
      <c r="A21" s="594" t="s">
        <v>55</v>
      </c>
      <c r="B21" s="115" t="s">
        <v>285</v>
      </c>
      <c r="C21" s="204">
        <v>38</v>
      </c>
      <c r="D21" s="204">
        <v>10956</v>
      </c>
      <c r="E21" s="204">
        <v>13256</v>
      </c>
      <c r="F21" s="204">
        <v>3296</v>
      </c>
      <c r="G21" s="204">
        <v>2847</v>
      </c>
      <c r="H21" s="204">
        <v>659</v>
      </c>
      <c r="I21" s="171">
        <v>28935</v>
      </c>
    </row>
    <row r="22" spans="1:9" s="41" customFormat="1" ht="14.25" customHeight="1">
      <c r="A22" s="594"/>
      <c r="B22" s="115" t="s">
        <v>286</v>
      </c>
      <c r="C22" s="204">
        <v>36</v>
      </c>
      <c r="D22" s="204">
        <v>10732</v>
      </c>
      <c r="E22" s="204">
        <v>13215</v>
      </c>
      <c r="F22" s="204">
        <v>3246</v>
      </c>
      <c r="G22" s="204">
        <v>2821</v>
      </c>
      <c r="H22" s="204">
        <v>627</v>
      </c>
      <c r="I22" s="171">
        <v>27942</v>
      </c>
    </row>
    <row r="23" spans="1:9" s="41" customFormat="1" ht="14.25" customHeight="1">
      <c r="A23" s="594" t="s">
        <v>58</v>
      </c>
      <c r="B23" s="115" t="s">
        <v>285</v>
      </c>
      <c r="C23" s="224">
        <v>14</v>
      </c>
      <c r="D23" s="224">
        <v>1100</v>
      </c>
      <c r="E23" s="224">
        <v>300</v>
      </c>
      <c r="F23" s="224">
        <v>150</v>
      </c>
      <c r="G23" s="224">
        <v>150</v>
      </c>
      <c r="H23" s="224">
        <v>50</v>
      </c>
      <c r="I23" s="224">
        <v>5000</v>
      </c>
    </row>
    <row r="24" spans="1:9" s="41" customFormat="1" ht="14.25" customHeight="1">
      <c r="A24" s="594"/>
      <c r="B24" s="115" t="s">
        <v>286</v>
      </c>
      <c r="C24" s="204">
        <v>12</v>
      </c>
      <c r="D24" s="204">
        <v>900</v>
      </c>
      <c r="E24" s="204">
        <v>250</v>
      </c>
      <c r="F24" s="204">
        <v>150</v>
      </c>
      <c r="G24" s="204">
        <v>150</v>
      </c>
      <c r="H24" s="204">
        <v>30</v>
      </c>
      <c r="I24" s="171">
        <v>2500</v>
      </c>
    </row>
    <row r="25" spans="1:9" s="41" customFormat="1" ht="14.25" customHeight="1">
      <c r="A25" s="594" t="s">
        <v>59</v>
      </c>
      <c r="B25" s="115" t="s">
        <v>285</v>
      </c>
      <c r="C25" s="204">
        <v>8</v>
      </c>
      <c r="D25" s="204">
        <v>1369</v>
      </c>
      <c r="E25" s="204">
        <v>2104</v>
      </c>
      <c r="F25" s="204">
        <v>672</v>
      </c>
      <c r="G25" s="204">
        <v>205</v>
      </c>
      <c r="H25" s="204">
        <v>9</v>
      </c>
      <c r="I25" s="171">
        <v>5846</v>
      </c>
    </row>
    <row r="26" spans="1:9" s="41" customFormat="1" ht="14.25" customHeight="1">
      <c r="A26" s="594"/>
      <c r="B26" s="115" t="s">
        <v>286</v>
      </c>
      <c r="C26" s="204">
        <v>6</v>
      </c>
      <c r="D26" s="204">
        <v>1091</v>
      </c>
      <c r="E26" s="204">
        <v>1844</v>
      </c>
      <c r="F26" s="204">
        <v>453</v>
      </c>
      <c r="G26" s="204">
        <v>165</v>
      </c>
      <c r="H26" s="204">
        <v>7</v>
      </c>
      <c r="I26" s="171">
        <v>4484</v>
      </c>
    </row>
    <row r="27" spans="1:9" s="41" customFormat="1" ht="14.25" customHeight="1">
      <c r="A27" s="594" t="s">
        <v>60</v>
      </c>
      <c r="B27" s="115" t="s">
        <v>285</v>
      </c>
      <c r="C27" s="204">
        <v>68</v>
      </c>
      <c r="D27" s="204">
        <v>4570</v>
      </c>
      <c r="E27" s="204">
        <v>6520</v>
      </c>
      <c r="F27" s="204">
        <v>2430</v>
      </c>
      <c r="G27" s="204">
        <v>1870</v>
      </c>
      <c r="H27" s="204">
        <v>391</v>
      </c>
      <c r="I27" s="171">
        <v>24790</v>
      </c>
    </row>
    <row r="28" spans="1:9" s="41" customFormat="1" ht="14.25" customHeight="1">
      <c r="A28" s="594"/>
      <c r="B28" s="115" t="s">
        <v>286</v>
      </c>
      <c r="C28" s="204">
        <v>59</v>
      </c>
      <c r="D28" s="204">
        <v>3986</v>
      </c>
      <c r="E28" s="204">
        <v>9504</v>
      </c>
      <c r="F28" s="204">
        <v>1631</v>
      </c>
      <c r="G28" s="204">
        <v>3811</v>
      </c>
      <c r="H28" s="204">
        <v>375</v>
      </c>
      <c r="I28" s="171">
        <v>23684</v>
      </c>
    </row>
    <row r="29" spans="1:9" s="41" customFormat="1" ht="14.25" customHeight="1">
      <c r="A29" s="594" t="s">
        <v>61</v>
      </c>
      <c r="B29" s="115" t="s">
        <v>285</v>
      </c>
      <c r="C29" s="204">
        <v>12</v>
      </c>
      <c r="D29" s="204">
        <v>4200</v>
      </c>
      <c r="E29" s="204">
        <v>1260</v>
      </c>
      <c r="F29" s="204">
        <v>170</v>
      </c>
      <c r="G29" s="204">
        <v>650</v>
      </c>
      <c r="H29" s="204">
        <v>40</v>
      </c>
      <c r="I29" s="171">
        <v>315000</v>
      </c>
    </row>
    <row r="30" spans="1:9" s="41" customFormat="1" ht="14.25" customHeight="1">
      <c r="A30" s="594"/>
      <c r="B30" s="115" t="s">
        <v>286</v>
      </c>
      <c r="C30" s="204">
        <v>13</v>
      </c>
      <c r="D30" s="204">
        <v>1320</v>
      </c>
      <c r="E30" s="204">
        <v>1015</v>
      </c>
      <c r="F30" s="204">
        <v>360</v>
      </c>
      <c r="G30" s="204">
        <v>415</v>
      </c>
      <c r="H30" s="204">
        <v>21</v>
      </c>
      <c r="I30" s="171">
        <v>1865</v>
      </c>
    </row>
    <row r="31" spans="1:9" s="41" customFormat="1" ht="14.25" customHeight="1">
      <c r="A31" s="594" t="s">
        <v>63</v>
      </c>
      <c r="B31" s="115" t="s">
        <v>285</v>
      </c>
      <c r="C31" s="204">
        <v>74</v>
      </c>
      <c r="D31" s="204">
        <v>9038</v>
      </c>
      <c r="E31" s="204">
        <v>29100</v>
      </c>
      <c r="F31" s="204">
        <v>21200</v>
      </c>
      <c r="G31" s="204">
        <v>802</v>
      </c>
      <c r="H31" s="204">
        <v>2590</v>
      </c>
      <c r="I31" s="171">
        <v>58000</v>
      </c>
    </row>
    <row r="32" spans="1:9" s="41" customFormat="1" ht="14.25" customHeight="1">
      <c r="A32" s="594"/>
      <c r="B32" s="115" t="s">
        <v>286</v>
      </c>
      <c r="C32" s="204">
        <v>71</v>
      </c>
      <c r="D32" s="204">
        <v>8704</v>
      </c>
      <c r="E32" s="204">
        <v>28300</v>
      </c>
      <c r="F32" s="204">
        <v>21080</v>
      </c>
      <c r="G32" s="204">
        <v>790</v>
      </c>
      <c r="H32" s="204">
        <v>2480</v>
      </c>
      <c r="I32" s="171">
        <v>57400</v>
      </c>
    </row>
    <row r="33" spans="1:9" s="41" customFormat="1" ht="14.25" customHeight="1">
      <c r="A33" s="594" t="s">
        <v>64</v>
      </c>
      <c r="B33" s="115" t="s">
        <v>285</v>
      </c>
      <c r="C33" s="204">
        <v>27</v>
      </c>
      <c r="D33" s="204">
        <v>8123</v>
      </c>
      <c r="E33" s="204">
        <v>3372</v>
      </c>
      <c r="F33" s="204">
        <v>1212</v>
      </c>
      <c r="G33" s="204">
        <v>342</v>
      </c>
      <c r="H33" s="204">
        <v>512</v>
      </c>
      <c r="I33" s="171">
        <v>130000</v>
      </c>
    </row>
    <row r="34" spans="1:9" s="41" customFormat="1" ht="14.25" customHeight="1">
      <c r="A34" s="594"/>
      <c r="B34" s="115" t="s">
        <v>286</v>
      </c>
      <c r="C34" s="224">
        <v>25</v>
      </c>
      <c r="D34" s="224">
        <v>8234</v>
      </c>
      <c r="E34" s="224">
        <v>3278</v>
      </c>
      <c r="F34" s="224">
        <v>1198</v>
      </c>
      <c r="G34" s="224">
        <v>325</v>
      </c>
      <c r="H34" s="224">
        <v>518</v>
      </c>
      <c r="I34" s="224">
        <v>129840</v>
      </c>
    </row>
    <row r="35" spans="1:9" s="41" customFormat="1" ht="14.25" customHeight="1">
      <c r="A35" s="119"/>
      <c r="B35" s="116"/>
      <c r="C35" s="135"/>
      <c r="D35" s="135"/>
      <c r="E35" s="135"/>
      <c r="F35" s="135"/>
      <c r="G35" s="135"/>
      <c r="H35" s="135"/>
      <c r="I35" s="135"/>
    </row>
    <row r="36" spans="1:9">
      <c r="C36" s="245"/>
      <c r="D36" s="245"/>
      <c r="E36" s="245"/>
      <c r="F36" s="245"/>
      <c r="G36" s="245"/>
      <c r="H36" s="245"/>
      <c r="I36" s="245"/>
    </row>
    <row r="37" spans="1:9">
      <c r="C37" s="245"/>
      <c r="D37" s="245"/>
      <c r="E37" s="245"/>
      <c r="F37" s="245"/>
      <c r="G37" s="245"/>
      <c r="H37" s="245"/>
      <c r="I37" s="245"/>
    </row>
    <row r="39" spans="1:9">
      <c r="C39" s="245"/>
      <c r="D39" s="245"/>
      <c r="E39" s="245"/>
      <c r="F39" s="245"/>
      <c r="G39" s="245"/>
      <c r="H39" s="245"/>
      <c r="I39" s="245"/>
    </row>
    <row r="40" spans="1:9">
      <c r="C40" s="245"/>
      <c r="D40" s="245"/>
      <c r="E40" s="245"/>
      <c r="F40" s="245"/>
      <c r="G40" s="245"/>
      <c r="H40" s="245"/>
      <c r="I40" s="245"/>
    </row>
  </sheetData>
  <mergeCells count="25">
    <mergeCell ref="A17:A18"/>
    <mergeCell ref="A19:A20"/>
    <mergeCell ref="A21:A22"/>
    <mergeCell ref="A31:A32"/>
    <mergeCell ref="A33:A34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1:I1"/>
    <mergeCell ref="A2:K2"/>
    <mergeCell ref="H3:I3"/>
    <mergeCell ref="A4:B6"/>
    <mergeCell ref="C4:C6"/>
    <mergeCell ref="D4:D6"/>
    <mergeCell ref="E4:G4"/>
    <mergeCell ref="H4:H6"/>
    <mergeCell ref="I4:I6"/>
    <mergeCell ref="E5:E6"/>
    <mergeCell ref="F5:G5"/>
  </mergeCells>
  <hyperlinks>
    <hyperlink ref="H3" location="'Spis tablic'!A4" display="Powrót do spisu treści" xr:uid="{00000000-0004-0000-3800-000000000000}"/>
    <hyperlink ref="H3:I3" location="'Spis tablic  List of tables'!A85" display="'Spis tablic  List of tables'!A85" xr:uid="{00000000-0004-0000-3800-000001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J44"/>
  <sheetViews>
    <sheetView zoomScaleNormal="100" workbookViewId="0">
      <pane ySplit="6" topLeftCell="A7" activePane="bottomLeft" state="frozen"/>
      <selection sqref="A1:Q1"/>
      <selection pane="bottomLeft" activeCell="G3" sqref="G3:H3"/>
    </sheetView>
  </sheetViews>
  <sheetFormatPr defaultColWidth="9.1796875" defaultRowHeight="14.5"/>
  <cols>
    <col min="1" max="1" width="21.81640625" style="50" customWidth="1"/>
    <col min="2" max="8" width="12.1796875" style="50" customWidth="1"/>
    <col min="9" max="16384" width="9.1796875" style="50"/>
  </cols>
  <sheetData>
    <row r="1" spans="1:10" s="39" customFormat="1" ht="18.649999999999999" customHeight="1">
      <c r="A1" s="545" t="s">
        <v>1148</v>
      </c>
      <c r="B1" s="545"/>
      <c r="C1" s="545"/>
      <c r="D1" s="545"/>
      <c r="E1" s="545"/>
      <c r="F1" s="545"/>
      <c r="G1" s="545"/>
      <c r="H1" s="545"/>
    </row>
    <row r="2" spans="1:10" s="39" customFormat="1" ht="14.25" customHeight="1">
      <c r="A2" s="556" t="s">
        <v>1149</v>
      </c>
      <c r="B2" s="556"/>
      <c r="C2" s="556"/>
      <c r="D2" s="556"/>
      <c r="E2" s="556"/>
      <c r="F2" s="556"/>
      <c r="G2" s="556"/>
      <c r="H2" s="556"/>
    </row>
    <row r="3" spans="1:10" s="39" customFormat="1" ht="28.4" customHeight="1">
      <c r="B3" s="49"/>
      <c r="F3" s="43"/>
      <c r="G3" s="537" t="s">
        <v>5</v>
      </c>
      <c r="H3" s="547"/>
      <c r="J3" s="40"/>
    </row>
    <row r="4" spans="1:10" s="41" customFormat="1" ht="36.75" customHeight="1">
      <c r="A4" s="548" t="s">
        <v>6</v>
      </c>
      <c r="B4" s="539" t="s">
        <v>34</v>
      </c>
      <c r="C4" s="539" t="s">
        <v>35</v>
      </c>
      <c r="D4" s="539" t="s">
        <v>1131</v>
      </c>
      <c r="E4" s="543" t="s">
        <v>36</v>
      </c>
      <c r="F4" s="544"/>
      <c r="G4" s="544"/>
      <c r="H4" s="544"/>
    </row>
    <row r="5" spans="1:10" s="41" customFormat="1" ht="33" customHeight="1">
      <c r="A5" s="549"/>
      <c r="B5" s="551"/>
      <c r="C5" s="551"/>
      <c r="D5" s="551"/>
      <c r="E5" s="539" t="s">
        <v>952</v>
      </c>
      <c r="F5" s="541" t="s">
        <v>37</v>
      </c>
      <c r="G5" s="543" t="s">
        <v>38</v>
      </c>
      <c r="H5" s="544"/>
    </row>
    <row r="6" spans="1:10" s="41" customFormat="1" ht="53.25" customHeight="1">
      <c r="A6" s="550"/>
      <c r="B6" s="540"/>
      <c r="C6" s="540"/>
      <c r="D6" s="540"/>
      <c r="E6" s="540"/>
      <c r="F6" s="542"/>
      <c r="G6" s="44" t="s">
        <v>39</v>
      </c>
      <c r="H6" s="45" t="s">
        <v>40</v>
      </c>
    </row>
    <row r="7" spans="1:10" ht="40.4" customHeight="1">
      <c r="A7" s="538" t="s">
        <v>48</v>
      </c>
      <c r="B7" s="552"/>
      <c r="C7" s="552"/>
      <c r="D7" s="552"/>
      <c r="E7" s="552"/>
      <c r="F7" s="552"/>
      <c r="G7" s="552"/>
      <c r="H7" s="552"/>
    </row>
    <row r="8" spans="1:10" s="41" customFormat="1" ht="24" customHeight="1">
      <c r="A8" s="46" t="s">
        <v>1147</v>
      </c>
      <c r="B8" s="174">
        <v>14476</v>
      </c>
      <c r="C8" s="174">
        <v>22149</v>
      </c>
      <c r="D8" s="174">
        <v>1098851</v>
      </c>
      <c r="E8" s="174">
        <v>1111903</v>
      </c>
      <c r="F8" s="174">
        <v>305868</v>
      </c>
      <c r="G8" s="174">
        <v>789118</v>
      </c>
      <c r="H8" s="175">
        <v>246488</v>
      </c>
    </row>
    <row r="9" spans="1:10" s="41" customFormat="1" ht="14.25" customHeight="1">
      <c r="A9" s="251">
        <v>2024</v>
      </c>
      <c r="B9" s="172">
        <v>16612</v>
      </c>
      <c r="C9" s="172">
        <v>25233</v>
      </c>
      <c r="D9" s="172">
        <v>1395168</v>
      </c>
      <c r="E9" s="172">
        <v>1446609</v>
      </c>
      <c r="F9" s="172">
        <v>404643</v>
      </c>
      <c r="G9" s="172">
        <v>1049701</v>
      </c>
      <c r="H9" s="173">
        <v>324875</v>
      </c>
      <c r="I9" s="55"/>
    </row>
    <row r="10" spans="1:10" s="41" customFormat="1" ht="14.25" customHeight="1">
      <c r="A10" s="54" t="s">
        <v>49</v>
      </c>
      <c r="B10" s="174">
        <v>1535</v>
      </c>
      <c r="C10" s="174">
        <v>2093</v>
      </c>
      <c r="D10" s="174">
        <v>120663</v>
      </c>
      <c r="E10" s="174">
        <v>122634</v>
      </c>
      <c r="F10" s="174">
        <v>30853</v>
      </c>
      <c r="G10" s="174">
        <v>84121</v>
      </c>
      <c r="H10" s="175">
        <v>24397</v>
      </c>
    </row>
    <row r="11" spans="1:10" s="41" customFormat="1" ht="14.25" customHeight="1">
      <c r="A11" s="54" t="s">
        <v>50</v>
      </c>
      <c r="B11" s="174">
        <v>854</v>
      </c>
      <c r="C11" s="174">
        <v>1314</v>
      </c>
      <c r="D11" s="174">
        <v>58680</v>
      </c>
      <c r="E11" s="174">
        <v>65290</v>
      </c>
      <c r="F11" s="174">
        <v>17666</v>
      </c>
      <c r="G11" s="174">
        <v>47157</v>
      </c>
      <c r="H11" s="175">
        <v>13899</v>
      </c>
    </row>
    <row r="12" spans="1:10" s="41" customFormat="1" ht="14.25" customHeight="1">
      <c r="A12" s="54" t="s">
        <v>51</v>
      </c>
      <c r="B12" s="174">
        <v>797</v>
      </c>
      <c r="C12" s="174">
        <v>1341</v>
      </c>
      <c r="D12" s="174">
        <v>69578</v>
      </c>
      <c r="E12" s="174">
        <v>68959</v>
      </c>
      <c r="F12" s="174">
        <v>17960</v>
      </c>
      <c r="G12" s="174">
        <v>52361</v>
      </c>
      <c r="H12" s="175">
        <v>15049</v>
      </c>
    </row>
    <row r="13" spans="1:10" s="41" customFormat="1" ht="14.25" customHeight="1">
      <c r="A13" s="54" t="s">
        <v>52</v>
      </c>
      <c r="B13" s="174">
        <v>491</v>
      </c>
      <c r="C13" s="174">
        <v>691</v>
      </c>
      <c r="D13" s="174">
        <v>37794</v>
      </c>
      <c r="E13" s="174">
        <v>36341</v>
      </c>
      <c r="F13" s="174">
        <v>10623</v>
      </c>
      <c r="G13" s="174">
        <v>24733</v>
      </c>
      <c r="H13" s="175">
        <v>8550</v>
      </c>
    </row>
    <row r="14" spans="1:10" s="41" customFormat="1" ht="14.25" customHeight="1">
      <c r="A14" s="54" t="s">
        <v>53</v>
      </c>
      <c r="B14" s="174">
        <v>949</v>
      </c>
      <c r="C14" s="174">
        <v>1530</v>
      </c>
      <c r="D14" s="174">
        <v>62969</v>
      </c>
      <c r="E14" s="174">
        <v>73534</v>
      </c>
      <c r="F14" s="174">
        <v>20838</v>
      </c>
      <c r="G14" s="174">
        <v>54260</v>
      </c>
      <c r="H14" s="175">
        <v>17292</v>
      </c>
    </row>
    <row r="15" spans="1:10" s="41" customFormat="1" ht="14.25" customHeight="1">
      <c r="A15" s="54" t="s">
        <v>54</v>
      </c>
      <c r="B15" s="174">
        <v>1574</v>
      </c>
      <c r="C15" s="174">
        <v>2453</v>
      </c>
      <c r="D15" s="174">
        <v>141481</v>
      </c>
      <c r="E15" s="174">
        <v>147601</v>
      </c>
      <c r="F15" s="174">
        <v>40377</v>
      </c>
      <c r="G15" s="174">
        <v>108865</v>
      </c>
      <c r="H15" s="175">
        <v>32451</v>
      </c>
    </row>
    <row r="16" spans="1:10" s="41" customFormat="1" ht="14.25" customHeight="1">
      <c r="A16" s="56" t="s">
        <v>55</v>
      </c>
      <c r="B16" s="174">
        <v>1880</v>
      </c>
      <c r="C16" s="174">
        <v>3080</v>
      </c>
      <c r="D16" s="174">
        <v>232032</v>
      </c>
      <c r="E16" s="174">
        <v>234926</v>
      </c>
      <c r="F16" s="174">
        <v>74698</v>
      </c>
      <c r="G16" s="174">
        <v>172317</v>
      </c>
      <c r="H16" s="175">
        <v>59965</v>
      </c>
    </row>
    <row r="17" spans="1:8" s="41" customFormat="1" ht="14.25" customHeight="1">
      <c r="A17" s="56" t="s">
        <v>56</v>
      </c>
      <c r="B17" s="174">
        <v>531</v>
      </c>
      <c r="C17" s="174">
        <v>736</v>
      </c>
      <c r="D17" s="174">
        <v>31536</v>
      </c>
      <c r="E17" s="174">
        <v>36766</v>
      </c>
      <c r="F17" s="174">
        <v>8750</v>
      </c>
      <c r="G17" s="174">
        <v>23673</v>
      </c>
      <c r="H17" s="175">
        <v>6536</v>
      </c>
    </row>
    <row r="18" spans="1:8" s="41" customFormat="1" ht="14.25" customHeight="1">
      <c r="A18" s="56" t="s">
        <v>57</v>
      </c>
      <c r="B18" s="174">
        <v>1342</v>
      </c>
      <c r="C18" s="174">
        <v>1983</v>
      </c>
      <c r="D18" s="174">
        <v>74215</v>
      </c>
      <c r="E18" s="174">
        <v>86705</v>
      </c>
      <c r="F18" s="174">
        <v>21733</v>
      </c>
      <c r="G18" s="174">
        <v>63398</v>
      </c>
      <c r="H18" s="175">
        <v>18647</v>
      </c>
    </row>
    <row r="19" spans="1:8" ht="14.25" customHeight="1">
      <c r="A19" s="56" t="s">
        <v>58</v>
      </c>
      <c r="B19" s="174">
        <v>425</v>
      </c>
      <c r="C19" s="174">
        <v>669</v>
      </c>
      <c r="D19" s="174">
        <v>39229</v>
      </c>
      <c r="E19" s="174">
        <v>38170</v>
      </c>
      <c r="F19" s="174">
        <v>10313</v>
      </c>
      <c r="G19" s="174">
        <v>25320</v>
      </c>
      <c r="H19" s="175">
        <v>7934</v>
      </c>
    </row>
    <row r="20" spans="1:8" ht="14.25" customHeight="1">
      <c r="A20" s="56" t="s">
        <v>59</v>
      </c>
      <c r="B20" s="174">
        <v>1069</v>
      </c>
      <c r="C20" s="174">
        <v>1592</v>
      </c>
      <c r="D20" s="174">
        <v>101831</v>
      </c>
      <c r="E20" s="174">
        <v>99820</v>
      </c>
      <c r="F20" s="174">
        <v>31168</v>
      </c>
      <c r="G20" s="174">
        <v>72019</v>
      </c>
      <c r="H20" s="175">
        <v>24243</v>
      </c>
    </row>
    <row r="21" spans="1:8" ht="14.25" customHeight="1">
      <c r="A21" s="56" t="s">
        <v>60</v>
      </c>
      <c r="B21" s="174">
        <v>1614</v>
      </c>
      <c r="C21" s="174">
        <v>2414</v>
      </c>
      <c r="D21" s="174">
        <v>158025</v>
      </c>
      <c r="E21" s="174">
        <v>156803</v>
      </c>
      <c r="F21" s="174">
        <v>43373</v>
      </c>
      <c r="G21" s="174">
        <v>119533</v>
      </c>
      <c r="H21" s="175">
        <v>35310</v>
      </c>
    </row>
    <row r="22" spans="1:8" ht="14.25" customHeight="1">
      <c r="A22" s="56" t="s">
        <v>61</v>
      </c>
      <c r="B22" s="174">
        <v>375</v>
      </c>
      <c r="C22" s="174">
        <v>609</v>
      </c>
      <c r="D22" s="174">
        <v>28760</v>
      </c>
      <c r="E22" s="174">
        <v>32243</v>
      </c>
      <c r="F22" s="174">
        <v>8442</v>
      </c>
      <c r="G22" s="174">
        <v>23846</v>
      </c>
      <c r="H22" s="175">
        <v>6839</v>
      </c>
    </row>
    <row r="23" spans="1:8" ht="14.25" customHeight="1">
      <c r="A23" s="56" t="s">
        <v>62</v>
      </c>
      <c r="B23" s="174">
        <v>555</v>
      </c>
      <c r="C23" s="174">
        <v>886</v>
      </c>
      <c r="D23" s="174">
        <v>35483</v>
      </c>
      <c r="E23" s="174">
        <v>38981</v>
      </c>
      <c r="F23" s="174">
        <v>10233</v>
      </c>
      <c r="G23" s="174">
        <v>28530</v>
      </c>
      <c r="H23" s="175">
        <v>8128</v>
      </c>
    </row>
    <row r="24" spans="1:8" ht="14.25" customHeight="1">
      <c r="A24" s="56" t="s">
        <v>63</v>
      </c>
      <c r="B24" s="174">
        <v>1651</v>
      </c>
      <c r="C24" s="174">
        <v>2445</v>
      </c>
      <c r="D24" s="174">
        <v>126751</v>
      </c>
      <c r="E24" s="174">
        <v>133958</v>
      </c>
      <c r="F24" s="174">
        <v>37047</v>
      </c>
      <c r="G24" s="174">
        <v>95595</v>
      </c>
      <c r="H24" s="175">
        <v>29103</v>
      </c>
    </row>
    <row r="25" spans="1:8" ht="14.25" customHeight="1">
      <c r="A25" s="56" t="s">
        <v>64</v>
      </c>
      <c r="B25" s="174">
        <v>970</v>
      </c>
      <c r="C25" s="174">
        <v>1397</v>
      </c>
      <c r="D25" s="174">
        <v>76141</v>
      </c>
      <c r="E25" s="174">
        <v>73878</v>
      </c>
      <c r="F25" s="174">
        <v>20569</v>
      </c>
      <c r="G25" s="174">
        <v>53973</v>
      </c>
      <c r="H25" s="175">
        <v>16532</v>
      </c>
    </row>
    <row r="26" spans="1:8" ht="40.4" customHeight="1">
      <c r="A26" s="553" t="s">
        <v>65</v>
      </c>
      <c r="B26" s="554"/>
      <c r="C26" s="554"/>
      <c r="D26" s="554"/>
      <c r="E26" s="554"/>
      <c r="F26" s="554"/>
      <c r="G26" s="554"/>
      <c r="H26" s="555"/>
    </row>
    <row r="27" spans="1:8" ht="24" customHeight="1">
      <c r="A27" s="46" t="s">
        <v>1150</v>
      </c>
      <c r="B27" s="174">
        <v>7310</v>
      </c>
      <c r="C27" s="174">
        <v>11091</v>
      </c>
      <c r="D27" s="174">
        <v>665881</v>
      </c>
      <c r="E27" s="174">
        <v>667283</v>
      </c>
      <c r="F27" s="174">
        <v>206440</v>
      </c>
      <c r="G27" s="174">
        <v>477901</v>
      </c>
      <c r="H27" s="175">
        <v>165666</v>
      </c>
    </row>
    <row r="28" spans="1:8" ht="14.25" customHeight="1">
      <c r="A28" s="251">
        <v>2024</v>
      </c>
      <c r="B28" s="172">
        <v>8587</v>
      </c>
      <c r="C28" s="172">
        <v>13098</v>
      </c>
      <c r="D28" s="172">
        <v>848504</v>
      </c>
      <c r="E28" s="172">
        <v>870325</v>
      </c>
      <c r="F28" s="172">
        <v>275687</v>
      </c>
      <c r="G28" s="172">
        <v>629995</v>
      </c>
      <c r="H28" s="173">
        <v>219723</v>
      </c>
    </row>
    <row r="29" spans="1:8" ht="14.25" customHeight="1">
      <c r="A29" s="54" t="s">
        <v>49</v>
      </c>
      <c r="B29" s="174">
        <v>791</v>
      </c>
      <c r="C29" s="174">
        <v>1126</v>
      </c>
      <c r="D29" s="174">
        <v>73573</v>
      </c>
      <c r="E29" s="174">
        <v>73825</v>
      </c>
      <c r="F29" s="174">
        <v>21777</v>
      </c>
      <c r="G29" s="174">
        <v>51173</v>
      </c>
      <c r="H29" s="175">
        <v>17093</v>
      </c>
    </row>
    <row r="30" spans="1:8" ht="14.25" customHeight="1">
      <c r="A30" s="54" t="s">
        <v>50</v>
      </c>
      <c r="B30" s="174">
        <v>457</v>
      </c>
      <c r="C30" s="174">
        <v>684</v>
      </c>
      <c r="D30" s="174">
        <v>36713</v>
      </c>
      <c r="E30" s="174">
        <v>40147</v>
      </c>
      <c r="F30" s="174">
        <v>12280</v>
      </c>
      <c r="G30" s="174">
        <v>29236</v>
      </c>
      <c r="H30" s="175">
        <v>9905</v>
      </c>
    </row>
    <row r="31" spans="1:8" ht="14.25" customHeight="1">
      <c r="A31" s="54" t="s">
        <v>51</v>
      </c>
      <c r="B31" s="174">
        <v>378</v>
      </c>
      <c r="C31" s="174">
        <v>633</v>
      </c>
      <c r="D31" s="174">
        <v>41242</v>
      </c>
      <c r="E31" s="174">
        <v>40755</v>
      </c>
      <c r="F31" s="174">
        <v>11277</v>
      </c>
      <c r="G31" s="174">
        <v>30820</v>
      </c>
      <c r="H31" s="175">
        <v>9252</v>
      </c>
    </row>
    <row r="32" spans="1:8" ht="14.25" customHeight="1">
      <c r="A32" s="54" t="s">
        <v>52</v>
      </c>
      <c r="B32" s="174">
        <v>263</v>
      </c>
      <c r="C32" s="174">
        <v>392</v>
      </c>
      <c r="D32" s="174">
        <v>23961</v>
      </c>
      <c r="E32" s="174">
        <v>23088</v>
      </c>
      <c r="F32" s="174">
        <v>8262</v>
      </c>
      <c r="G32" s="174">
        <v>17267</v>
      </c>
      <c r="H32" s="175">
        <v>6728</v>
      </c>
    </row>
    <row r="33" spans="1:8" ht="14.25" customHeight="1">
      <c r="A33" s="54" t="s">
        <v>53</v>
      </c>
      <c r="B33" s="174">
        <v>514</v>
      </c>
      <c r="C33" s="174">
        <v>793</v>
      </c>
      <c r="D33" s="174">
        <v>38423</v>
      </c>
      <c r="E33" s="174">
        <v>44572</v>
      </c>
      <c r="F33" s="174">
        <v>14177</v>
      </c>
      <c r="G33" s="174">
        <v>32972</v>
      </c>
      <c r="H33" s="175">
        <v>11680</v>
      </c>
    </row>
    <row r="34" spans="1:8" ht="14.25" customHeight="1">
      <c r="A34" s="54" t="s">
        <v>54</v>
      </c>
      <c r="B34" s="174">
        <v>743</v>
      </c>
      <c r="C34" s="174">
        <v>1190</v>
      </c>
      <c r="D34" s="174">
        <v>77131</v>
      </c>
      <c r="E34" s="174">
        <v>81393</v>
      </c>
      <c r="F34" s="174">
        <v>25815</v>
      </c>
      <c r="G34" s="174">
        <v>59416</v>
      </c>
      <c r="H34" s="175">
        <v>20761</v>
      </c>
    </row>
    <row r="35" spans="1:8" ht="14.25" customHeight="1">
      <c r="A35" s="56" t="s">
        <v>55</v>
      </c>
      <c r="B35" s="174">
        <v>1016</v>
      </c>
      <c r="C35" s="174">
        <v>1659</v>
      </c>
      <c r="D35" s="174">
        <v>144756</v>
      </c>
      <c r="E35" s="174">
        <v>148864</v>
      </c>
      <c r="F35" s="174">
        <v>50145</v>
      </c>
      <c r="G35" s="174">
        <v>104985</v>
      </c>
      <c r="H35" s="175">
        <v>39764</v>
      </c>
    </row>
    <row r="36" spans="1:8" ht="14.25" customHeight="1">
      <c r="A36" s="56" t="s">
        <v>56</v>
      </c>
      <c r="B36" s="174">
        <v>252</v>
      </c>
      <c r="C36" s="174">
        <v>390</v>
      </c>
      <c r="D36" s="174">
        <v>19354</v>
      </c>
      <c r="E36" s="174">
        <v>21049</v>
      </c>
      <c r="F36" s="174">
        <v>6889</v>
      </c>
      <c r="G36" s="174">
        <v>14317</v>
      </c>
      <c r="H36" s="175">
        <v>5151</v>
      </c>
    </row>
    <row r="37" spans="1:8" ht="14.25" customHeight="1">
      <c r="A37" s="56" t="s">
        <v>57</v>
      </c>
      <c r="B37" s="174">
        <v>509</v>
      </c>
      <c r="C37" s="174">
        <v>691</v>
      </c>
      <c r="D37" s="174">
        <v>35402</v>
      </c>
      <c r="E37" s="174">
        <v>39798</v>
      </c>
      <c r="F37" s="174">
        <v>12357</v>
      </c>
      <c r="G37" s="174">
        <v>29603</v>
      </c>
      <c r="H37" s="175">
        <v>10376</v>
      </c>
    </row>
    <row r="38" spans="1:8" ht="14.25" customHeight="1">
      <c r="A38" s="56" t="s">
        <v>58</v>
      </c>
      <c r="B38" s="174">
        <v>237</v>
      </c>
      <c r="C38" s="174">
        <v>373</v>
      </c>
      <c r="D38" s="174">
        <v>25583</v>
      </c>
      <c r="E38" s="174">
        <v>25245</v>
      </c>
      <c r="F38" s="174">
        <v>7228</v>
      </c>
      <c r="G38" s="174">
        <v>16339</v>
      </c>
      <c r="H38" s="175">
        <v>5537</v>
      </c>
    </row>
    <row r="39" spans="1:8" ht="14.25" customHeight="1">
      <c r="A39" s="56" t="s">
        <v>59</v>
      </c>
      <c r="B39" s="174">
        <v>606</v>
      </c>
      <c r="C39" s="174">
        <v>925</v>
      </c>
      <c r="D39" s="174">
        <v>66827</v>
      </c>
      <c r="E39" s="174">
        <v>63073</v>
      </c>
      <c r="F39" s="174">
        <v>21030</v>
      </c>
      <c r="G39" s="174">
        <v>43814</v>
      </c>
      <c r="H39" s="175">
        <v>15805</v>
      </c>
    </row>
    <row r="40" spans="1:8" ht="14.25" customHeight="1">
      <c r="A40" s="56" t="s">
        <v>60</v>
      </c>
      <c r="B40" s="174">
        <v>906</v>
      </c>
      <c r="C40" s="174">
        <v>1390</v>
      </c>
      <c r="D40" s="174">
        <v>97578</v>
      </c>
      <c r="E40" s="174">
        <v>97443</v>
      </c>
      <c r="F40" s="174">
        <v>31171</v>
      </c>
      <c r="G40" s="174">
        <v>74235</v>
      </c>
      <c r="H40" s="175">
        <v>25173</v>
      </c>
    </row>
    <row r="41" spans="1:8" ht="14.25" customHeight="1">
      <c r="A41" s="56" t="s">
        <v>61</v>
      </c>
      <c r="B41" s="174">
        <v>186</v>
      </c>
      <c r="C41" s="174">
        <v>276</v>
      </c>
      <c r="D41" s="174">
        <v>16869</v>
      </c>
      <c r="E41" s="174">
        <v>18451</v>
      </c>
      <c r="F41" s="174">
        <v>5902</v>
      </c>
      <c r="G41" s="174">
        <v>13347</v>
      </c>
      <c r="H41" s="175">
        <v>4765</v>
      </c>
    </row>
    <row r="42" spans="1:8" ht="14.25" customHeight="1">
      <c r="A42" s="56" t="s">
        <v>62</v>
      </c>
      <c r="B42" s="174">
        <v>313</v>
      </c>
      <c r="C42" s="174">
        <v>509</v>
      </c>
      <c r="D42" s="174">
        <v>23044</v>
      </c>
      <c r="E42" s="174">
        <v>25692</v>
      </c>
      <c r="F42" s="174">
        <v>7493</v>
      </c>
      <c r="G42" s="174">
        <v>19249</v>
      </c>
      <c r="H42" s="175">
        <v>5991</v>
      </c>
    </row>
    <row r="43" spans="1:8" ht="14.25" customHeight="1">
      <c r="A43" s="56" t="s">
        <v>63</v>
      </c>
      <c r="B43" s="174">
        <v>902</v>
      </c>
      <c r="C43" s="174">
        <v>1311</v>
      </c>
      <c r="D43" s="174">
        <v>83555</v>
      </c>
      <c r="E43" s="174">
        <v>83464</v>
      </c>
      <c r="F43" s="174">
        <v>26223</v>
      </c>
      <c r="G43" s="174">
        <v>60315</v>
      </c>
      <c r="H43" s="175">
        <v>20763</v>
      </c>
    </row>
    <row r="44" spans="1:8" ht="14.25" customHeight="1">
      <c r="A44" s="56" t="s">
        <v>64</v>
      </c>
      <c r="B44" s="174">
        <v>514</v>
      </c>
      <c r="C44" s="174">
        <v>756</v>
      </c>
      <c r="D44" s="174">
        <v>44493</v>
      </c>
      <c r="E44" s="174">
        <v>43466</v>
      </c>
      <c r="F44" s="174">
        <v>13661</v>
      </c>
      <c r="G44" s="174">
        <v>32907</v>
      </c>
      <c r="H44" s="175">
        <v>10979</v>
      </c>
    </row>
  </sheetData>
  <mergeCells count="13">
    <mergeCell ref="G5:H5"/>
    <mergeCell ref="A7:H7"/>
    <mergeCell ref="A26:H26"/>
    <mergeCell ref="A1:H1"/>
    <mergeCell ref="A2:H2"/>
    <mergeCell ref="G3:H3"/>
    <mergeCell ref="A4:A6"/>
    <mergeCell ref="B4:B6"/>
    <mergeCell ref="C4:C6"/>
    <mergeCell ref="D4:D6"/>
    <mergeCell ref="E4:H4"/>
    <mergeCell ref="E5:E6"/>
    <mergeCell ref="F5:F6"/>
  </mergeCells>
  <hyperlinks>
    <hyperlink ref="G3" location="'Spis tablic'!A4" display="Powrót do spisu treści" xr:uid="{00000000-0004-0000-0400-000000000000}"/>
    <hyperlink ref="G3:H3" location="'Spis tablic  List of tables'!A11" display="'Spis tablic  List of tables'!A11" xr:uid="{00000000-0004-0000-0400-000001000000}"/>
  </hyperlinks>
  <pageMargins left="0.25" right="0.25" top="0.75" bottom="0.75" header="0.3" footer="0.3"/>
  <pageSetup paperSize="9" scale="90" fitToWidth="0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J45"/>
  <sheetViews>
    <sheetView zoomScaleNormal="100" workbookViewId="0">
      <pane ySplit="6" topLeftCell="A7" activePane="bottomLeft" state="frozen"/>
      <selection sqref="A1:Q1"/>
      <selection pane="bottomLeft" activeCell="G3" sqref="G3:H3"/>
    </sheetView>
  </sheetViews>
  <sheetFormatPr defaultColWidth="9.1796875" defaultRowHeight="14.5"/>
  <cols>
    <col min="1" max="1" width="20.54296875" style="50" customWidth="1"/>
    <col min="2" max="6" width="11.81640625" style="50" customWidth="1"/>
    <col min="7" max="8" width="12.1796875" style="50" customWidth="1"/>
    <col min="9" max="16384" width="9.1796875" style="50"/>
  </cols>
  <sheetData>
    <row r="1" spans="1:10" s="39" customFormat="1" ht="30" customHeight="1">
      <c r="A1" s="545" t="s">
        <v>1367</v>
      </c>
      <c r="B1" s="545"/>
      <c r="C1" s="545"/>
      <c r="D1" s="545"/>
      <c r="E1" s="545"/>
      <c r="F1" s="545"/>
      <c r="G1" s="545"/>
      <c r="H1" s="545"/>
    </row>
    <row r="2" spans="1:10" s="39" customFormat="1" ht="27" customHeight="1">
      <c r="A2" s="556" t="s">
        <v>1153</v>
      </c>
      <c r="B2" s="556"/>
      <c r="C2" s="556"/>
      <c r="D2" s="556"/>
      <c r="E2" s="556"/>
      <c r="F2" s="556"/>
      <c r="G2" s="556"/>
      <c r="H2" s="556"/>
    </row>
    <row r="3" spans="1:10" s="39" customFormat="1" ht="26.5" customHeight="1">
      <c r="B3" s="49"/>
      <c r="G3" s="537" t="s">
        <v>5</v>
      </c>
      <c r="H3" s="547"/>
    </row>
    <row r="4" spans="1:10" s="41" customFormat="1" ht="36.75" customHeight="1">
      <c r="A4" s="548" t="s">
        <v>6</v>
      </c>
      <c r="B4" s="539" t="s">
        <v>34</v>
      </c>
      <c r="C4" s="539" t="s">
        <v>35</v>
      </c>
      <c r="D4" s="539" t="s">
        <v>1132</v>
      </c>
      <c r="E4" s="543" t="s">
        <v>36</v>
      </c>
      <c r="F4" s="544"/>
      <c r="G4" s="544"/>
      <c r="H4" s="544"/>
      <c r="J4" s="48"/>
    </row>
    <row r="5" spans="1:10" s="41" customFormat="1" ht="33" customHeight="1">
      <c r="A5" s="549"/>
      <c r="B5" s="551"/>
      <c r="C5" s="551"/>
      <c r="D5" s="551"/>
      <c r="E5" s="539" t="s">
        <v>80</v>
      </c>
      <c r="F5" s="541" t="s">
        <v>37</v>
      </c>
      <c r="G5" s="543" t="s">
        <v>38</v>
      </c>
      <c r="H5" s="544"/>
    </row>
    <row r="6" spans="1:10" s="41" customFormat="1" ht="53.25" customHeight="1">
      <c r="A6" s="550"/>
      <c r="B6" s="540"/>
      <c r="C6" s="540"/>
      <c r="D6" s="540"/>
      <c r="E6" s="540"/>
      <c r="F6" s="542"/>
      <c r="G6" s="44" t="s">
        <v>39</v>
      </c>
      <c r="H6" s="45" t="s">
        <v>40</v>
      </c>
    </row>
    <row r="7" spans="1:10" ht="40.4" customHeight="1">
      <c r="A7" s="538" t="s">
        <v>48</v>
      </c>
      <c r="B7" s="538"/>
      <c r="C7" s="538"/>
      <c r="D7" s="538"/>
      <c r="E7" s="538"/>
      <c r="F7" s="538"/>
      <c r="G7" s="538"/>
      <c r="H7" s="538"/>
    </row>
    <row r="8" spans="1:10" s="41" customFormat="1" ht="22.4" customHeight="1">
      <c r="A8" s="46" t="s">
        <v>1152</v>
      </c>
      <c r="B8" s="170">
        <v>72</v>
      </c>
      <c r="C8" s="170">
        <v>684</v>
      </c>
      <c r="D8" s="170">
        <v>21061</v>
      </c>
      <c r="E8" s="170">
        <v>20585</v>
      </c>
      <c r="F8" s="170">
        <v>9072</v>
      </c>
      <c r="G8" s="170">
        <v>6806</v>
      </c>
      <c r="H8" s="171">
        <v>3072</v>
      </c>
    </row>
    <row r="9" spans="1:10" s="41" customFormat="1" ht="14.25" customHeight="1">
      <c r="A9" s="251">
        <v>2024</v>
      </c>
      <c r="B9" s="172">
        <v>76</v>
      </c>
      <c r="C9" s="172">
        <v>739</v>
      </c>
      <c r="D9" s="172">
        <v>28159</v>
      </c>
      <c r="E9" s="172">
        <v>27460</v>
      </c>
      <c r="F9" s="172">
        <v>13098</v>
      </c>
      <c r="G9" s="172">
        <v>8754</v>
      </c>
      <c r="H9" s="173">
        <v>4339</v>
      </c>
    </row>
    <row r="10" spans="1:10" s="41" customFormat="1" ht="14.25" customHeight="1">
      <c r="A10" s="54" t="s">
        <v>49</v>
      </c>
      <c r="B10" s="174">
        <v>2</v>
      </c>
      <c r="C10" s="174">
        <v>13</v>
      </c>
      <c r="D10" s="174">
        <v>763</v>
      </c>
      <c r="E10" s="174">
        <v>763</v>
      </c>
      <c r="F10" s="174">
        <v>450</v>
      </c>
      <c r="G10" s="174">
        <v>559</v>
      </c>
      <c r="H10" s="175">
        <v>363</v>
      </c>
    </row>
    <row r="11" spans="1:10" s="41" customFormat="1" ht="14.25" customHeight="1">
      <c r="A11" s="54" t="s">
        <v>50</v>
      </c>
      <c r="B11" s="174">
        <v>4</v>
      </c>
      <c r="C11" s="174">
        <v>53</v>
      </c>
      <c r="D11" s="174">
        <v>1231</v>
      </c>
      <c r="E11" s="174">
        <v>1216</v>
      </c>
      <c r="F11" s="174">
        <v>477</v>
      </c>
      <c r="G11" s="174">
        <v>182</v>
      </c>
      <c r="H11" s="175">
        <v>54</v>
      </c>
      <c r="I11" s="55"/>
    </row>
    <row r="12" spans="1:10" s="41" customFormat="1" ht="14.25" customHeight="1">
      <c r="A12" s="54" t="s">
        <v>51</v>
      </c>
      <c r="B12" s="174">
        <v>5</v>
      </c>
      <c r="C12" s="174">
        <v>44</v>
      </c>
      <c r="D12" s="174">
        <v>1671</v>
      </c>
      <c r="E12" s="174">
        <v>1644</v>
      </c>
      <c r="F12" s="174">
        <v>825</v>
      </c>
      <c r="G12" s="174">
        <v>804</v>
      </c>
      <c r="H12" s="175">
        <v>459</v>
      </c>
      <c r="I12" s="55"/>
    </row>
    <row r="13" spans="1:10" s="41" customFormat="1" ht="14.25" customHeight="1">
      <c r="A13" s="54" t="s">
        <v>52</v>
      </c>
      <c r="B13" s="174">
        <v>3</v>
      </c>
      <c r="C13" s="174">
        <v>28</v>
      </c>
      <c r="D13" s="174">
        <v>1998</v>
      </c>
      <c r="E13" s="174">
        <v>1902</v>
      </c>
      <c r="F13" s="174">
        <v>1132</v>
      </c>
      <c r="G13" s="174">
        <v>1153</v>
      </c>
      <c r="H13" s="175">
        <v>815</v>
      </c>
      <c r="I13" s="55"/>
    </row>
    <row r="14" spans="1:10" s="41" customFormat="1" ht="14.25" customHeight="1">
      <c r="A14" s="54" t="s">
        <v>53</v>
      </c>
      <c r="B14" s="174">
        <v>3</v>
      </c>
      <c r="C14" s="174">
        <v>17</v>
      </c>
      <c r="D14" s="174">
        <v>352</v>
      </c>
      <c r="E14" s="174">
        <v>572</v>
      </c>
      <c r="F14" s="174">
        <v>200</v>
      </c>
      <c r="G14" s="174">
        <v>379</v>
      </c>
      <c r="H14" s="171">
        <v>108</v>
      </c>
      <c r="I14" s="55"/>
    </row>
    <row r="15" spans="1:10" s="41" customFormat="1" ht="14.25" customHeight="1">
      <c r="A15" s="54" t="s">
        <v>54</v>
      </c>
      <c r="B15" s="174">
        <v>5</v>
      </c>
      <c r="C15" s="174">
        <v>86</v>
      </c>
      <c r="D15" s="174">
        <v>1946</v>
      </c>
      <c r="E15" s="174">
        <v>1911</v>
      </c>
      <c r="F15" s="174">
        <v>820</v>
      </c>
      <c r="G15" s="174">
        <v>319</v>
      </c>
      <c r="H15" s="175">
        <v>123</v>
      </c>
      <c r="I15" s="55"/>
    </row>
    <row r="16" spans="1:10" s="41" customFormat="1" ht="14.25" customHeight="1">
      <c r="A16" s="56" t="s">
        <v>55</v>
      </c>
      <c r="B16" s="174">
        <v>11</v>
      </c>
      <c r="C16" s="174">
        <v>153</v>
      </c>
      <c r="D16" s="174">
        <v>5723</v>
      </c>
      <c r="E16" s="174">
        <v>5708</v>
      </c>
      <c r="F16" s="174">
        <v>2850</v>
      </c>
      <c r="G16" s="174">
        <v>1242</v>
      </c>
      <c r="H16" s="175">
        <v>633</v>
      </c>
      <c r="I16" s="55"/>
    </row>
    <row r="17" spans="1:10" s="41" customFormat="1" ht="14.25" customHeight="1">
      <c r="A17" s="56" t="s">
        <v>56</v>
      </c>
      <c r="B17" s="174">
        <v>6</v>
      </c>
      <c r="C17" s="174">
        <v>56</v>
      </c>
      <c r="D17" s="174">
        <v>2608</v>
      </c>
      <c r="E17" s="174">
        <v>2578</v>
      </c>
      <c r="F17" s="174">
        <v>1366</v>
      </c>
      <c r="G17" s="174">
        <v>850</v>
      </c>
      <c r="H17" s="175">
        <v>428</v>
      </c>
      <c r="I17" s="55"/>
    </row>
    <row r="18" spans="1:10" s="41" customFormat="1" ht="14.25" customHeight="1">
      <c r="A18" s="56" t="s">
        <v>57</v>
      </c>
      <c r="B18" s="174">
        <v>5</v>
      </c>
      <c r="C18" s="174">
        <v>40</v>
      </c>
      <c r="D18" s="174">
        <v>1135</v>
      </c>
      <c r="E18" s="174">
        <v>964</v>
      </c>
      <c r="F18" s="174">
        <v>310</v>
      </c>
      <c r="G18" s="174">
        <v>274</v>
      </c>
      <c r="H18" s="175">
        <v>46</v>
      </c>
      <c r="I18" s="55"/>
    </row>
    <row r="19" spans="1:10" ht="14.25" customHeight="1">
      <c r="A19" s="56" t="s">
        <v>58</v>
      </c>
      <c r="B19" s="174">
        <v>3</v>
      </c>
      <c r="C19" s="174">
        <v>21</v>
      </c>
      <c r="D19" s="174">
        <v>861</v>
      </c>
      <c r="E19" s="174">
        <v>769</v>
      </c>
      <c r="F19" s="174">
        <v>305</v>
      </c>
      <c r="G19" s="174">
        <v>41</v>
      </c>
      <c r="H19" s="175">
        <v>16</v>
      </c>
      <c r="I19" s="55"/>
    </row>
    <row r="20" spans="1:10" ht="14.25" customHeight="1">
      <c r="A20" s="56" t="s">
        <v>59</v>
      </c>
      <c r="B20" s="174">
        <v>5</v>
      </c>
      <c r="C20" s="174">
        <v>44</v>
      </c>
      <c r="D20" s="174">
        <v>2449</v>
      </c>
      <c r="E20" s="174">
        <v>2449</v>
      </c>
      <c r="F20" s="174">
        <v>1060</v>
      </c>
      <c r="G20" s="174">
        <v>660</v>
      </c>
      <c r="H20" s="175">
        <v>308</v>
      </c>
      <c r="I20" s="55"/>
    </row>
    <row r="21" spans="1:10" ht="14.25" customHeight="1">
      <c r="A21" s="56" t="s">
        <v>60</v>
      </c>
      <c r="B21" s="174">
        <v>8</v>
      </c>
      <c r="C21" s="174">
        <v>57</v>
      </c>
      <c r="D21" s="174">
        <v>3623</v>
      </c>
      <c r="E21" s="174">
        <v>3268</v>
      </c>
      <c r="F21" s="174">
        <v>1852</v>
      </c>
      <c r="G21" s="174">
        <v>569</v>
      </c>
      <c r="H21" s="175">
        <v>227</v>
      </c>
      <c r="I21" s="55"/>
    </row>
    <row r="22" spans="1:10" ht="14.25" customHeight="1">
      <c r="A22" s="56" t="s">
        <v>61</v>
      </c>
      <c r="B22" s="170">
        <v>2</v>
      </c>
      <c r="C22" s="170">
        <v>28</v>
      </c>
      <c r="D22" s="170">
        <v>332</v>
      </c>
      <c r="E22" s="170">
        <v>332</v>
      </c>
      <c r="F22" s="170">
        <v>68</v>
      </c>
      <c r="G22" s="170" t="s">
        <v>1074</v>
      </c>
      <c r="H22" s="171" t="s">
        <v>1074</v>
      </c>
      <c r="I22" s="55"/>
    </row>
    <row r="23" spans="1:10" ht="14.25" customHeight="1">
      <c r="A23" s="56" t="s">
        <v>62</v>
      </c>
      <c r="B23" s="174">
        <v>3</v>
      </c>
      <c r="C23" s="174">
        <v>12</v>
      </c>
      <c r="D23" s="174">
        <v>624</v>
      </c>
      <c r="E23" s="174">
        <v>626</v>
      </c>
      <c r="F23" s="174">
        <v>203</v>
      </c>
      <c r="G23" s="174">
        <v>403</v>
      </c>
      <c r="H23" s="175">
        <v>141</v>
      </c>
      <c r="I23" s="55"/>
    </row>
    <row r="24" spans="1:10" ht="14.25" customHeight="1">
      <c r="A24" s="56" t="s">
        <v>63</v>
      </c>
      <c r="B24" s="174">
        <v>4</v>
      </c>
      <c r="C24" s="174">
        <v>43</v>
      </c>
      <c r="D24" s="174">
        <v>2107</v>
      </c>
      <c r="E24" s="174">
        <v>2022</v>
      </c>
      <c r="F24" s="174">
        <v>960</v>
      </c>
      <c r="G24" s="174">
        <v>1211</v>
      </c>
      <c r="H24" s="175">
        <v>607</v>
      </c>
      <c r="I24" s="55"/>
    </row>
    <row r="25" spans="1:10" ht="14.25" customHeight="1">
      <c r="A25" s="56" t="s">
        <v>64</v>
      </c>
      <c r="B25" s="174">
        <v>7</v>
      </c>
      <c r="C25" s="174">
        <v>44</v>
      </c>
      <c r="D25" s="174">
        <v>736</v>
      </c>
      <c r="E25" s="174">
        <v>736</v>
      </c>
      <c r="F25" s="174">
        <v>220</v>
      </c>
      <c r="G25" s="174">
        <v>108</v>
      </c>
      <c r="H25" s="175">
        <v>11</v>
      </c>
      <c r="I25" s="41"/>
    </row>
    <row r="26" spans="1:10" s="57" customFormat="1" ht="40.4" customHeight="1">
      <c r="A26" s="557" t="s">
        <v>66</v>
      </c>
      <c r="B26" s="558"/>
      <c r="C26" s="558"/>
      <c r="D26" s="558"/>
      <c r="E26" s="558"/>
      <c r="F26" s="558"/>
      <c r="G26" s="558"/>
      <c r="H26" s="559"/>
      <c r="J26" s="50"/>
    </row>
    <row r="27" spans="1:10" s="57" customFormat="1" ht="21.65" customHeight="1">
      <c r="A27" s="46" t="s">
        <v>1152</v>
      </c>
      <c r="B27" s="170">
        <v>60</v>
      </c>
      <c r="C27" s="170">
        <v>597</v>
      </c>
      <c r="D27" s="170">
        <v>19737</v>
      </c>
      <c r="E27" s="170">
        <v>19059</v>
      </c>
      <c r="F27" s="170">
        <v>8555</v>
      </c>
      <c r="G27" s="170">
        <v>6580</v>
      </c>
      <c r="H27" s="171">
        <v>3046</v>
      </c>
    </row>
    <row r="28" spans="1:10" s="57" customFormat="1" ht="14.25" customHeight="1">
      <c r="A28" s="251">
        <v>2024</v>
      </c>
      <c r="B28" s="172">
        <v>64</v>
      </c>
      <c r="C28" s="172">
        <v>632</v>
      </c>
      <c r="D28" s="172">
        <v>25748</v>
      </c>
      <c r="E28" s="172">
        <v>25338</v>
      </c>
      <c r="F28" s="172">
        <v>12235</v>
      </c>
      <c r="G28" s="172">
        <v>8465</v>
      </c>
      <c r="H28" s="173">
        <v>4279</v>
      </c>
      <c r="I28" s="58"/>
    </row>
    <row r="29" spans="1:10" s="57" customFormat="1" ht="14.25" customHeight="1">
      <c r="A29" s="61" t="s">
        <v>49</v>
      </c>
      <c r="B29" s="174">
        <v>2</v>
      </c>
      <c r="C29" s="174">
        <v>13</v>
      </c>
      <c r="D29" s="174">
        <v>763</v>
      </c>
      <c r="E29" s="174">
        <v>763</v>
      </c>
      <c r="F29" s="174">
        <v>450</v>
      </c>
      <c r="G29" s="174">
        <v>559</v>
      </c>
      <c r="H29" s="175">
        <v>363</v>
      </c>
      <c r="I29" s="58"/>
    </row>
    <row r="30" spans="1:10" s="57" customFormat="1" ht="14.25" customHeight="1">
      <c r="A30" s="61" t="s">
        <v>50</v>
      </c>
      <c r="B30" s="174">
        <v>3</v>
      </c>
      <c r="C30" s="174">
        <v>38</v>
      </c>
      <c r="D30" s="174">
        <v>965</v>
      </c>
      <c r="E30" s="174">
        <v>965</v>
      </c>
      <c r="F30" s="174">
        <v>381</v>
      </c>
      <c r="G30" s="174">
        <v>182</v>
      </c>
      <c r="H30" s="175">
        <v>54</v>
      </c>
      <c r="I30" s="58"/>
    </row>
    <row r="31" spans="1:10" s="57" customFormat="1" ht="14.25" customHeight="1">
      <c r="A31" s="61" t="s">
        <v>51</v>
      </c>
      <c r="B31" s="174">
        <v>5</v>
      </c>
      <c r="C31" s="174">
        <v>44</v>
      </c>
      <c r="D31" s="174">
        <v>1671</v>
      </c>
      <c r="E31" s="174">
        <v>1644</v>
      </c>
      <c r="F31" s="174">
        <v>825</v>
      </c>
      <c r="G31" s="174">
        <v>804</v>
      </c>
      <c r="H31" s="171">
        <v>459</v>
      </c>
      <c r="I31" s="58"/>
    </row>
    <row r="32" spans="1:10" s="57" customFormat="1" ht="14.25" customHeight="1">
      <c r="A32" s="61" t="s">
        <v>52</v>
      </c>
      <c r="B32" s="174">
        <v>3</v>
      </c>
      <c r="C32" s="174">
        <v>28</v>
      </c>
      <c r="D32" s="174">
        <v>1998</v>
      </c>
      <c r="E32" s="174">
        <v>1902</v>
      </c>
      <c r="F32" s="174">
        <v>1132</v>
      </c>
      <c r="G32" s="174">
        <v>1153</v>
      </c>
      <c r="H32" s="175">
        <v>815</v>
      </c>
      <c r="I32" s="58"/>
    </row>
    <row r="33" spans="1:9" s="57" customFormat="1" ht="14.25" customHeight="1">
      <c r="A33" s="61" t="s">
        <v>53</v>
      </c>
      <c r="B33" s="174">
        <v>3</v>
      </c>
      <c r="C33" s="174">
        <v>17</v>
      </c>
      <c r="D33" s="174">
        <v>352</v>
      </c>
      <c r="E33" s="174">
        <v>572</v>
      </c>
      <c r="F33" s="174">
        <v>200</v>
      </c>
      <c r="G33" s="174">
        <v>379</v>
      </c>
      <c r="H33" s="171">
        <v>108</v>
      </c>
      <c r="I33" s="58"/>
    </row>
    <row r="34" spans="1:9" s="57" customFormat="1" ht="14.25" customHeight="1">
      <c r="A34" s="61" t="s">
        <v>54</v>
      </c>
      <c r="B34" s="174">
        <v>4</v>
      </c>
      <c r="C34" s="174">
        <v>68</v>
      </c>
      <c r="D34" s="174">
        <v>1767</v>
      </c>
      <c r="E34" s="174">
        <v>1732</v>
      </c>
      <c r="F34" s="174">
        <v>756</v>
      </c>
      <c r="G34" s="174">
        <v>319</v>
      </c>
      <c r="H34" s="175">
        <v>123</v>
      </c>
      <c r="I34" s="58"/>
    </row>
    <row r="35" spans="1:9" s="57" customFormat="1" ht="14.25" customHeight="1">
      <c r="A35" s="62" t="s">
        <v>55</v>
      </c>
      <c r="B35" s="174">
        <v>9</v>
      </c>
      <c r="C35" s="174">
        <v>132</v>
      </c>
      <c r="D35" s="174">
        <v>5077</v>
      </c>
      <c r="E35" s="174">
        <v>5069</v>
      </c>
      <c r="F35" s="174">
        <v>2442</v>
      </c>
      <c r="G35" s="174">
        <v>1226</v>
      </c>
      <c r="H35" s="175">
        <v>617</v>
      </c>
      <c r="I35" s="58"/>
    </row>
    <row r="36" spans="1:9" s="57" customFormat="1" ht="14.25" customHeight="1">
      <c r="A36" s="62" t="s">
        <v>56</v>
      </c>
      <c r="B36" s="174">
        <v>4</v>
      </c>
      <c r="C36" s="174">
        <v>49</v>
      </c>
      <c r="D36" s="174">
        <v>2125</v>
      </c>
      <c r="E36" s="174">
        <v>2356</v>
      </c>
      <c r="F36" s="174">
        <v>1297</v>
      </c>
      <c r="G36" s="174">
        <v>778</v>
      </c>
      <c r="H36" s="175">
        <v>423</v>
      </c>
      <c r="I36" s="58"/>
    </row>
    <row r="37" spans="1:9" s="57" customFormat="1" ht="14.25" customHeight="1">
      <c r="A37" s="62" t="s">
        <v>57</v>
      </c>
      <c r="B37" s="174">
        <v>3</v>
      </c>
      <c r="C37" s="174">
        <v>24</v>
      </c>
      <c r="D37" s="174">
        <v>845</v>
      </c>
      <c r="E37" s="174">
        <v>674</v>
      </c>
      <c r="F37" s="174">
        <v>194</v>
      </c>
      <c r="G37" s="174">
        <v>244</v>
      </c>
      <c r="H37" s="175">
        <v>36</v>
      </c>
      <c r="I37" s="58"/>
    </row>
    <row r="38" spans="1:9" s="57" customFormat="1" ht="14.25" customHeight="1">
      <c r="A38" s="62" t="s">
        <v>58</v>
      </c>
      <c r="B38" s="174">
        <v>3</v>
      </c>
      <c r="C38" s="174">
        <v>21</v>
      </c>
      <c r="D38" s="174">
        <v>861</v>
      </c>
      <c r="E38" s="174">
        <v>769</v>
      </c>
      <c r="F38" s="174">
        <v>305</v>
      </c>
      <c r="G38" s="174">
        <v>41</v>
      </c>
      <c r="H38" s="175">
        <v>16</v>
      </c>
      <c r="I38" s="58"/>
    </row>
    <row r="39" spans="1:9" s="57" customFormat="1" ht="14.25" customHeight="1">
      <c r="A39" s="62" t="s">
        <v>59</v>
      </c>
      <c r="B39" s="174">
        <v>5</v>
      </c>
      <c r="C39" s="174">
        <v>44</v>
      </c>
      <c r="D39" s="174">
        <v>2449</v>
      </c>
      <c r="E39" s="174">
        <v>2449</v>
      </c>
      <c r="F39" s="174">
        <v>1060</v>
      </c>
      <c r="G39" s="174">
        <v>660</v>
      </c>
      <c r="H39" s="175">
        <v>308</v>
      </c>
      <c r="I39" s="58"/>
    </row>
    <row r="40" spans="1:9" s="57" customFormat="1" ht="14.25" customHeight="1">
      <c r="A40" s="62" t="s">
        <v>60</v>
      </c>
      <c r="B40" s="174">
        <v>6</v>
      </c>
      <c r="C40" s="174">
        <v>55</v>
      </c>
      <c r="D40" s="174">
        <v>3408</v>
      </c>
      <c r="E40" s="174">
        <v>3059</v>
      </c>
      <c r="F40" s="174">
        <v>1810</v>
      </c>
      <c r="G40" s="174">
        <v>398</v>
      </c>
      <c r="H40" s="175">
        <v>198</v>
      </c>
      <c r="I40" s="58"/>
    </row>
    <row r="41" spans="1:9" s="57" customFormat="1" ht="14.25" customHeight="1">
      <c r="A41" s="62" t="s">
        <v>61</v>
      </c>
      <c r="B41" s="171" t="s">
        <v>1074</v>
      </c>
      <c r="C41" s="171" t="s">
        <v>1074</v>
      </c>
      <c r="D41" s="171" t="s">
        <v>1074</v>
      </c>
      <c r="E41" s="171" t="s">
        <v>1074</v>
      </c>
      <c r="F41" s="171" t="s">
        <v>1074</v>
      </c>
      <c r="G41" s="171" t="s">
        <v>1074</v>
      </c>
      <c r="H41" s="171" t="s">
        <v>1074</v>
      </c>
      <c r="I41" s="58"/>
    </row>
    <row r="42" spans="1:9" s="57" customFormat="1" ht="14.25" customHeight="1">
      <c r="A42" s="62" t="s">
        <v>62</v>
      </c>
      <c r="B42" s="174">
        <v>3</v>
      </c>
      <c r="C42" s="174">
        <v>12</v>
      </c>
      <c r="D42" s="174">
        <v>624</v>
      </c>
      <c r="E42" s="174">
        <v>626</v>
      </c>
      <c r="F42" s="174">
        <v>203</v>
      </c>
      <c r="G42" s="174">
        <v>403</v>
      </c>
      <c r="H42" s="175">
        <v>141</v>
      </c>
      <c r="I42" s="58"/>
    </row>
    <row r="43" spans="1:9" s="57" customFormat="1" ht="14.25" customHeight="1">
      <c r="A43" s="62" t="s">
        <v>63</v>
      </c>
      <c r="B43" s="174">
        <v>4</v>
      </c>
      <c r="C43" s="174">
        <v>43</v>
      </c>
      <c r="D43" s="174">
        <v>2107</v>
      </c>
      <c r="E43" s="174">
        <v>2022</v>
      </c>
      <c r="F43" s="174">
        <v>960</v>
      </c>
      <c r="G43" s="174">
        <v>1211</v>
      </c>
      <c r="H43" s="175">
        <v>607</v>
      </c>
      <c r="I43" s="58"/>
    </row>
    <row r="44" spans="1:9" s="57" customFormat="1" ht="14.25" customHeight="1">
      <c r="A44" s="62" t="s">
        <v>64</v>
      </c>
      <c r="B44" s="174">
        <v>7</v>
      </c>
      <c r="C44" s="174">
        <v>44</v>
      </c>
      <c r="D44" s="174">
        <v>736</v>
      </c>
      <c r="E44" s="174">
        <v>736</v>
      </c>
      <c r="F44" s="174">
        <v>220</v>
      </c>
      <c r="G44" s="174">
        <v>108</v>
      </c>
      <c r="H44" s="175">
        <v>11</v>
      </c>
      <c r="I44" s="58"/>
    </row>
    <row r="45" spans="1:9" s="57" customFormat="1"/>
  </sheetData>
  <mergeCells count="13">
    <mergeCell ref="G5:H5"/>
    <mergeCell ref="A7:H7"/>
    <mergeCell ref="A26:H26"/>
    <mergeCell ref="A1:H1"/>
    <mergeCell ref="A2:H2"/>
    <mergeCell ref="G3:H3"/>
    <mergeCell ref="A4:A6"/>
    <mergeCell ref="B4:B6"/>
    <mergeCell ref="C4:C6"/>
    <mergeCell ref="D4:D6"/>
    <mergeCell ref="E4:H4"/>
    <mergeCell ref="E5:E6"/>
    <mergeCell ref="F5:F6"/>
  </mergeCells>
  <hyperlinks>
    <hyperlink ref="G3" location="'Spis tablic'!A4" display="Powrót do spisu treści" xr:uid="{00000000-0004-0000-0500-000000000000}"/>
    <hyperlink ref="G3:H3" location="'Spis tablic  List of tables'!A13" display="'Spis tablic  List of tables'!A13" xr:uid="{00000000-0004-0000-0500-000001000000}"/>
  </hyperlinks>
  <pageMargins left="0.7" right="0.7" top="0.75" bottom="0.75" header="0.3" footer="0.3"/>
  <pageSetup paperSize="9" scale="85" fitToWidth="0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J44"/>
  <sheetViews>
    <sheetView zoomScaleNormal="100" workbookViewId="0">
      <pane ySplit="6" topLeftCell="A7" activePane="bottomLeft" state="frozen"/>
      <selection sqref="A1:Q1"/>
      <selection pane="bottomLeft" activeCell="G3" sqref="G3:H3"/>
    </sheetView>
  </sheetViews>
  <sheetFormatPr defaultColWidth="9.1796875" defaultRowHeight="14.5"/>
  <cols>
    <col min="1" max="1" width="24.54296875" style="50" customWidth="1"/>
    <col min="2" max="6" width="11.54296875" style="50" customWidth="1"/>
    <col min="7" max="8" width="12.1796875" style="50" customWidth="1"/>
    <col min="9" max="16384" width="9.1796875" style="50"/>
  </cols>
  <sheetData>
    <row r="1" spans="1:10" s="39" customFormat="1" ht="30" customHeight="1">
      <c r="A1" s="560" t="s">
        <v>1383</v>
      </c>
      <c r="B1" s="560"/>
      <c r="C1" s="560"/>
      <c r="D1" s="560"/>
      <c r="E1" s="560"/>
      <c r="F1" s="560"/>
      <c r="G1" s="560"/>
      <c r="H1" s="560"/>
    </row>
    <row r="2" spans="1:10" s="39" customFormat="1" ht="27" customHeight="1">
      <c r="A2" s="546" t="s">
        <v>1366</v>
      </c>
      <c r="B2" s="546"/>
      <c r="C2" s="546"/>
      <c r="D2" s="546"/>
      <c r="E2" s="546"/>
      <c r="F2" s="546"/>
      <c r="G2" s="546"/>
      <c r="H2" s="546"/>
    </row>
    <row r="3" spans="1:10" s="39" customFormat="1" ht="26.5" customHeight="1">
      <c r="A3" s="59"/>
      <c r="B3" s="59"/>
      <c r="C3" s="59"/>
      <c r="D3" s="59"/>
      <c r="E3" s="59"/>
      <c r="F3" s="59"/>
      <c r="G3" s="537" t="s">
        <v>5</v>
      </c>
      <c r="H3" s="547"/>
    </row>
    <row r="4" spans="1:10" s="41" customFormat="1" ht="36.75" customHeight="1">
      <c r="A4" s="548" t="s">
        <v>6</v>
      </c>
      <c r="B4" s="539" t="s">
        <v>34</v>
      </c>
      <c r="C4" s="539" t="s">
        <v>35</v>
      </c>
      <c r="D4" s="539" t="s">
        <v>1133</v>
      </c>
      <c r="E4" s="543" t="s">
        <v>36</v>
      </c>
      <c r="F4" s="544"/>
      <c r="G4" s="544"/>
      <c r="H4" s="544"/>
      <c r="J4" s="48"/>
    </row>
    <row r="5" spans="1:10" s="41" customFormat="1" ht="33.75" customHeight="1">
      <c r="A5" s="549"/>
      <c r="B5" s="551"/>
      <c r="C5" s="551"/>
      <c r="D5" s="551"/>
      <c r="E5" s="539" t="s">
        <v>80</v>
      </c>
      <c r="F5" s="541" t="s">
        <v>37</v>
      </c>
      <c r="G5" s="543" t="s">
        <v>38</v>
      </c>
      <c r="H5" s="544"/>
    </row>
    <row r="6" spans="1:10" s="41" customFormat="1" ht="53.25" customHeight="1">
      <c r="A6" s="550"/>
      <c r="B6" s="540"/>
      <c r="C6" s="540"/>
      <c r="D6" s="540"/>
      <c r="E6" s="540"/>
      <c r="F6" s="542"/>
      <c r="G6" s="44" t="s">
        <v>39</v>
      </c>
      <c r="H6" s="45" t="s">
        <v>40</v>
      </c>
    </row>
    <row r="7" spans="1:10" s="41" customFormat="1" ht="22.4" customHeight="1">
      <c r="A7" s="46" t="s">
        <v>1154</v>
      </c>
      <c r="B7" s="178">
        <v>2174</v>
      </c>
      <c r="C7" s="178">
        <v>2826</v>
      </c>
      <c r="D7" s="178">
        <v>132617</v>
      </c>
      <c r="E7" s="178">
        <v>132809</v>
      </c>
      <c r="F7" s="178">
        <v>15099</v>
      </c>
      <c r="G7" s="178">
        <v>79620</v>
      </c>
      <c r="H7" s="179">
        <v>12032</v>
      </c>
    </row>
    <row r="8" spans="1:10" s="41" customFormat="1" ht="14.25" customHeight="1">
      <c r="A8" s="251">
        <v>2024</v>
      </c>
      <c r="B8" s="219">
        <v>2370</v>
      </c>
      <c r="C8" s="219">
        <v>3113</v>
      </c>
      <c r="D8" s="219">
        <v>154931</v>
      </c>
      <c r="E8" s="219">
        <v>165598</v>
      </c>
      <c r="F8" s="219">
        <v>20229</v>
      </c>
      <c r="G8" s="219">
        <v>105227</v>
      </c>
      <c r="H8" s="239">
        <v>16436</v>
      </c>
    </row>
    <row r="9" spans="1:10" s="41" customFormat="1" ht="14.25" customHeight="1">
      <c r="A9" s="54" t="s">
        <v>49</v>
      </c>
      <c r="B9" s="174">
        <v>273</v>
      </c>
      <c r="C9" s="174">
        <v>317</v>
      </c>
      <c r="D9" s="174">
        <v>14511</v>
      </c>
      <c r="E9" s="174">
        <v>14672</v>
      </c>
      <c r="F9" s="174">
        <v>2227</v>
      </c>
      <c r="G9" s="174">
        <v>7616</v>
      </c>
      <c r="H9" s="240">
        <v>1635</v>
      </c>
    </row>
    <row r="10" spans="1:10" s="41" customFormat="1" ht="14.25" customHeight="1">
      <c r="A10" s="54" t="s">
        <v>50</v>
      </c>
      <c r="B10" s="174">
        <v>102</v>
      </c>
      <c r="C10" s="174">
        <v>146</v>
      </c>
      <c r="D10" s="174">
        <v>7389</v>
      </c>
      <c r="E10" s="174">
        <v>7931</v>
      </c>
      <c r="F10" s="174">
        <v>1177</v>
      </c>
      <c r="G10" s="174">
        <v>5282</v>
      </c>
      <c r="H10" s="240">
        <v>963</v>
      </c>
    </row>
    <row r="11" spans="1:10" s="41" customFormat="1" ht="14.25" customHeight="1">
      <c r="A11" s="54" t="s">
        <v>51</v>
      </c>
      <c r="B11" s="174">
        <v>90</v>
      </c>
      <c r="C11" s="174">
        <v>126</v>
      </c>
      <c r="D11" s="174">
        <v>7376</v>
      </c>
      <c r="E11" s="174">
        <v>7869</v>
      </c>
      <c r="F11" s="174">
        <v>959</v>
      </c>
      <c r="G11" s="174">
        <v>5494</v>
      </c>
      <c r="H11" s="240">
        <v>829</v>
      </c>
    </row>
    <row r="12" spans="1:10" s="41" customFormat="1" ht="14.25" customHeight="1">
      <c r="A12" s="54" t="s">
        <v>52</v>
      </c>
      <c r="B12" s="174">
        <v>63</v>
      </c>
      <c r="C12" s="174">
        <v>79</v>
      </c>
      <c r="D12" s="174">
        <v>3809</v>
      </c>
      <c r="E12" s="174">
        <v>3885</v>
      </c>
      <c r="F12" s="174">
        <v>738</v>
      </c>
      <c r="G12" s="174">
        <v>2415</v>
      </c>
      <c r="H12" s="240">
        <v>651</v>
      </c>
    </row>
    <row r="13" spans="1:10" s="41" customFormat="1" ht="14.25" customHeight="1">
      <c r="A13" s="54" t="s">
        <v>53</v>
      </c>
      <c r="B13" s="174">
        <v>184</v>
      </c>
      <c r="C13" s="174">
        <v>272</v>
      </c>
      <c r="D13" s="174">
        <v>11245</v>
      </c>
      <c r="E13" s="174">
        <v>13431</v>
      </c>
      <c r="F13" s="174">
        <v>1985</v>
      </c>
      <c r="G13" s="174">
        <v>9231</v>
      </c>
      <c r="H13" s="240">
        <v>1709</v>
      </c>
    </row>
    <row r="14" spans="1:10" s="41" customFormat="1" ht="14.25" customHeight="1">
      <c r="A14" s="54" t="s">
        <v>54</v>
      </c>
      <c r="B14" s="174">
        <v>370</v>
      </c>
      <c r="C14" s="174">
        <v>467</v>
      </c>
      <c r="D14" s="174">
        <v>28873</v>
      </c>
      <c r="E14" s="174">
        <v>29937</v>
      </c>
      <c r="F14" s="174">
        <v>2328</v>
      </c>
      <c r="G14" s="174">
        <v>20199</v>
      </c>
      <c r="H14" s="240">
        <v>1896</v>
      </c>
    </row>
    <row r="15" spans="1:10" s="41" customFormat="1" ht="14.25" customHeight="1">
      <c r="A15" s="56" t="s">
        <v>55</v>
      </c>
      <c r="B15" s="174">
        <v>71</v>
      </c>
      <c r="C15" s="174">
        <v>115</v>
      </c>
      <c r="D15" s="174">
        <v>6740</v>
      </c>
      <c r="E15" s="174">
        <v>7350</v>
      </c>
      <c r="F15" s="174">
        <v>1150</v>
      </c>
      <c r="G15" s="174">
        <v>4904</v>
      </c>
      <c r="H15" s="240">
        <v>802</v>
      </c>
    </row>
    <row r="16" spans="1:10" s="41" customFormat="1" ht="14.25" customHeight="1">
      <c r="A16" s="56" t="s">
        <v>56</v>
      </c>
      <c r="B16" s="174">
        <v>226</v>
      </c>
      <c r="C16" s="174">
        <v>260</v>
      </c>
      <c r="D16" s="174">
        <v>9267</v>
      </c>
      <c r="E16" s="174">
        <v>10761</v>
      </c>
      <c r="F16" s="174">
        <v>1089</v>
      </c>
      <c r="G16" s="174">
        <v>5267</v>
      </c>
      <c r="H16" s="240">
        <v>881</v>
      </c>
    </row>
    <row r="17" spans="1:10" s="41" customFormat="1" ht="14.25" customHeight="1">
      <c r="A17" s="56" t="s">
        <v>57</v>
      </c>
      <c r="B17" s="174">
        <v>343</v>
      </c>
      <c r="C17" s="174">
        <v>431</v>
      </c>
      <c r="D17" s="174">
        <v>15999</v>
      </c>
      <c r="E17" s="174">
        <v>19005</v>
      </c>
      <c r="F17" s="174">
        <v>1162</v>
      </c>
      <c r="G17" s="174">
        <v>10560</v>
      </c>
      <c r="H17" s="240">
        <v>1006</v>
      </c>
    </row>
    <row r="18" spans="1:10" ht="14.25" customHeight="1">
      <c r="A18" s="56" t="s">
        <v>58</v>
      </c>
      <c r="B18" s="174">
        <v>11</v>
      </c>
      <c r="C18" s="174">
        <v>14</v>
      </c>
      <c r="D18" s="174">
        <v>1301</v>
      </c>
      <c r="E18" s="174">
        <v>1191</v>
      </c>
      <c r="F18" s="174">
        <v>405</v>
      </c>
      <c r="G18" s="174">
        <v>911</v>
      </c>
      <c r="H18" s="240">
        <v>330</v>
      </c>
    </row>
    <row r="19" spans="1:10" ht="14.25" customHeight="1">
      <c r="A19" s="56" t="s">
        <v>59</v>
      </c>
      <c r="B19" s="174">
        <v>59</v>
      </c>
      <c r="C19" s="174">
        <v>94</v>
      </c>
      <c r="D19" s="174">
        <v>5812</v>
      </c>
      <c r="E19" s="174">
        <v>5750</v>
      </c>
      <c r="F19" s="174">
        <v>1429</v>
      </c>
      <c r="G19" s="174">
        <v>4165</v>
      </c>
      <c r="H19" s="240">
        <v>1143</v>
      </c>
    </row>
    <row r="20" spans="1:10" ht="14.25" customHeight="1">
      <c r="A20" s="56" t="s">
        <v>60</v>
      </c>
      <c r="B20" s="174">
        <v>248</v>
      </c>
      <c r="C20" s="174">
        <v>350</v>
      </c>
      <c r="D20" s="174">
        <v>21758</v>
      </c>
      <c r="E20" s="174">
        <v>21512</v>
      </c>
      <c r="F20" s="174">
        <v>2051</v>
      </c>
      <c r="G20" s="174">
        <v>14709</v>
      </c>
      <c r="H20" s="240">
        <v>1746</v>
      </c>
    </row>
    <row r="21" spans="1:10" ht="14.25" customHeight="1">
      <c r="A21" s="56" t="s">
        <v>61</v>
      </c>
      <c r="B21" s="174">
        <v>38</v>
      </c>
      <c r="C21" s="174">
        <v>45</v>
      </c>
      <c r="D21" s="174">
        <v>1547</v>
      </c>
      <c r="E21" s="174">
        <v>2060</v>
      </c>
      <c r="F21" s="174">
        <v>291</v>
      </c>
      <c r="G21" s="174">
        <v>1185</v>
      </c>
      <c r="H21" s="240">
        <v>180</v>
      </c>
    </row>
    <row r="22" spans="1:10" ht="14.25" customHeight="1">
      <c r="A22" s="56" t="s">
        <v>62</v>
      </c>
      <c r="B22" s="174">
        <v>46</v>
      </c>
      <c r="C22" s="174">
        <v>65</v>
      </c>
      <c r="D22" s="174">
        <v>2371</v>
      </c>
      <c r="E22" s="174">
        <v>2683</v>
      </c>
      <c r="F22" s="174">
        <v>498</v>
      </c>
      <c r="G22" s="174">
        <v>1781</v>
      </c>
      <c r="H22" s="240">
        <v>431</v>
      </c>
    </row>
    <row r="23" spans="1:10" ht="14.25" customHeight="1">
      <c r="A23" s="56" t="s">
        <v>63</v>
      </c>
      <c r="B23" s="174">
        <v>156</v>
      </c>
      <c r="C23" s="174">
        <v>212</v>
      </c>
      <c r="D23" s="174">
        <v>11064</v>
      </c>
      <c r="E23" s="174">
        <v>11895</v>
      </c>
      <c r="F23" s="174">
        <v>1602</v>
      </c>
      <c r="G23" s="174">
        <v>7974</v>
      </c>
      <c r="H23" s="240">
        <v>1356</v>
      </c>
    </row>
    <row r="24" spans="1:10" ht="14.25" customHeight="1">
      <c r="A24" s="56" t="s">
        <v>64</v>
      </c>
      <c r="B24" s="174">
        <v>90</v>
      </c>
      <c r="C24" s="174">
        <v>120</v>
      </c>
      <c r="D24" s="174">
        <v>5869</v>
      </c>
      <c r="E24" s="174">
        <v>5666</v>
      </c>
      <c r="F24" s="174">
        <v>1138</v>
      </c>
      <c r="G24" s="174">
        <v>3534</v>
      </c>
      <c r="H24" s="240">
        <v>878</v>
      </c>
    </row>
    <row r="25" spans="1:10" s="57" customFormat="1" ht="40.4" customHeight="1">
      <c r="A25" s="557" t="s">
        <v>66</v>
      </c>
      <c r="B25" s="558"/>
      <c r="C25" s="558"/>
      <c r="D25" s="558"/>
      <c r="E25" s="558"/>
      <c r="F25" s="558"/>
      <c r="G25" s="558"/>
      <c r="H25" s="559"/>
      <c r="J25" s="50"/>
    </row>
    <row r="26" spans="1:10" s="57" customFormat="1" ht="21.65" customHeight="1">
      <c r="A26" s="46" t="s">
        <v>1155</v>
      </c>
      <c r="B26" s="170">
        <v>843</v>
      </c>
      <c r="C26" s="170">
        <v>1154</v>
      </c>
      <c r="D26" s="170">
        <v>58881</v>
      </c>
      <c r="E26" s="170">
        <v>58227</v>
      </c>
      <c r="F26" s="170">
        <v>10157</v>
      </c>
      <c r="G26" s="170">
        <v>38141</v>
      </c>
      <c r="H26" s="171">
        <v>8179</v>
      </c>
    </row>
    <row r="27" spans="1:10" s="57" customFormat="1" ht="14.25" customHeight="1">
      <c r="A27" s="252">
        <v>2024</v>
      </c>
      <c r="B27" s="172">
        <v>984</v>
      </c>
      <c r="C27" s="172">
        <v>1358</v>
      </c>
      <c r="D27" s="172">
        <v>69743</v>
      </c>
      <c r="E27" s="172">
        <v>74106</v>
      </c>
      <c r="F27" s="172">
        <v>13852</v>
      </c>
      <c r="G27" s="172">
        <v>49681</v>
      </c>
      <c r="H27" s="173">
        <v>11447</v>
      </c>
    </row>
    <row r="28" spans="1:10" s="57" customFormat="1" ht="14.25" customHeight="1">
      <c r="A28" s="61" t="s">
        <v>49</v>
      </c>
      <c r="B28" s="174">
        <v>118</v>
      </c>
      <c r="C28" s="174">
        <v>142</v>
      </c>
      <c r="D28" s="174">
        <v>6605</v>
      </c>
      <c r="E28" s="174">
        <v>6633</v>
      </c>
      <c r="F28" s="174">
        <v>1618</v>
      </c>
      <c r="G28" s="174">
        <v>3736</v>
      </c>
      <c r="H28" s="175">
        <v>1207</v>
      </c>
    </row>
    <row r="29" spans="1:10" s="57" customFormat="1" ht="14.25" customHeight="1">
      <c r="A29" s="61" t="s">
        <v>50</v>
      </c>
      <c r="B29" s="174">
        <v>47</v>
      </c>
      <c r="C29" s="174">
        <v>79</v>
      </c>
      <c r="D29" s="174">
        <v>4182</v>
      </c>
      <c r="E29" s="174">
        <v>4258</v>
      </c>
      <c r="F29" s="174">
        <v>950</v>
      </c>
      <c r="G29" s="174">
        <v>3056</v>
      </c>
      <c r="H29" s="175">
        <v>799</v>
      </c>
    </row>
    <row r="30" spans="1:10" s="57" customFormat="1" ht="14.25" customHeight="1">
      <c r="A30" s="61" t="s">
        <v>51</v>
      </c>
      <c r="B30" s="174">
        <v>42</v>
      </c>
      <c r="C30" s="174">
        <v>65</v>
      </c>
      <c r="D30" s="174">
        <v>3667</v>
      </c>
      <c r="E30" s="174">
        <v>4004</v>
      </c>
      <c r="F30" s="174">
        <v>730</v>
      </c>
      <c r="G30" s="174">
        <v>3050</v>
      </c>
      <c r="H30" s="175">
        <v>652</v>
      </c>
    </row>
    <row r="31" spans="1:10" s="57" customFormat="1" ht="14.25" customHeight="1">
      <c r="A31" s="61" t="s">
        <v>52</v>
      </c>
      <c r="B31" s="174">
        <v>27</v>
      </c>
      <c r="C31" s="174">
        <v>36</v>
      </c>
      <c r="D31" s="174">
        <v>2014</v>
      </c>
      <c r="E31" s="174">
        <v>1961</v>
      </c>
      <c r="F31" s="174">
        <v>642</v>
      </c>
      <c r="G31" s="174">
        <v>1487</v>
      </c>
      <c r="H31" s="175">
        <v>578</v>
      </c>
    </row>
    <row r="32" spans="1:10" s="57" customFormat="1" ht="14.25" customHeight="1">
      <c r="A32" s="61" t="s">
        <v>53</v>
      </c>
      <c r="B32" s="174">
        <v>86</v>
      </c>
      <c r="C32" s="174">
        <v>127</v>
      </c>
      <c r="D32" s="174">
        <v>5457</v>
      </c>
      <c r="E32" s="174">
        <v>6282</v>
      </c>
      <c r="F32" s="174">
        <v>1174</v>
      </c>
      <c r="G32" s="174">
        <v>4467</v>
      </c>
      <c r="H32" s="175">
        <v>1036</v>
      </c>
    </row>
    <row r="33" spans="1:8" s="57" customFormat="1" ht="14.25" customHeight="1">
      <c r="A33" s="61" t="s">
        <v>54</v>
      </c>
      <c r="B33" s="174">
        <v>146</v>
      </c>
      <c r="C33" s="174">
        <v>187</v>
      </c>
      <c r="D33" s="174">
        <v>10287</v>
      </c>
      <c r="E33" s="174">
        <v>11471</v>
      </c>
      <c r="F33" s="174">
        <v>1070</v>
      </c>
      <c r="G33" s="174">
        <v>7639</v>
      </c>
      <c r="H33" s="175">
        <v>910</v>
      </c>
    </row>
    <row r="34" spans="1:8" s="57" customFormat="1" ht="14.25" customHeight="1">
      <c r="A34" s="62" t="s">
        <v>55</v>
      </c>
      <c r="B34" s="174">
        <v>38</v>
      </c>
      <c r="C34" s="174">
        <v>63</v>
      </c>
      <c r="D34" s="174">
        <v>3118</v>
      </c>
      <c r="E34" s="174">
        <v>3715</v>
      </c>
      <c r="F34" s="174">
        <v>887</v>
      </c>
      <c r="G34" s="174">
        <v>2438</v>
      </c>
      <c r="H34" s="175">
        <v>650</v>
      </c>
    </row>
    <row r="35" spans="1:8" s="57" customFormat="1" ht="14.25" customHeight="1">
      <c r="A35" s="62" t="s">
        <v>56</v>
      </c>
      <c r="B35" s="174">
        <v>85</v>
      </c>
      <c r="C35" s="174">
        <v>109</v>
      </c>
      <c r="D35" s="174">
        <v>3738</v>
      </c>
      <c r="E35" s="174">
        <v>4062</v>
      </c>
      <c r="F35" s="174">
        <v>718</v>
      </c>
      <c r="G35" s="174">
        <v>2071</v>
      </c>
      <c r="H35" s="175">
        <v>543</v>
      </c>
    </row>
    <row r="36" spans="1:8" s="57" customFormat="1" ht="14.25" customHeight="1">
      <c r="A36" s="62" t="s">
        <v>57</v>
      </c>
      <c r="B36" s="174">
        <v>98</v>
      </c>
      <c r="C36" s="174">
        <v>126</v>
      </c>
      <c r="D36" s="174">
        <v>4983</v>
      </c>
      <c r="E36" s="174">
        <v>5933</v>
      </c>
      <c r="F36" s="174">
        <v>614</v>
      </c>
      <c r="G36" s="174">
        <v>3495</v>
      </c>
      <c r="H36" s="175">
        <v>554</v>
      </c>
    </row>
    <row r="37" spans="1:8" s="57" customFormat="1" ht="14.25" customHeight="1">
      <c r="A37" s="62" t="s">
        <v>58</v>
      </c>
      <c r="B37" s="174">
        <v>6</v>
      </c>
      <c r="C37" s="174">
        <v>6</v>
      </c>
      <c r="D37" s="174">
        <v>976</v>
      </c>
      <c r="E37" s="174">
        <v>917</v>
      </c>
      <c r="F37" s="174">
        <v>384</v>
      </c>
      <c r="G37" s="174">
        <v>737</v>
      </c>
      <c r="H37" s="175">
        <v>314</v>
      </c>
    </row>
    <row r="38" spans="1:8" s="57" customFormat="1" ht="14.25" customHeight="1">
      <c r="A38" s="62" t="s">
        <v>59</v>
      </c>
      <c r="B38" s="174">
        <v>42</v>
      </c>
      <c r="C38" s="174">
        <v>68</v>
      </c>
      <c r="D38" s="174">
        <v>4014</v>
      </c>
      <c r="E38" s="174">
        <v>4050</v>
      </c>
      <c r="F38" s="174">
        <v>1217</v>
      </c>
      <c r="G38" s="174">
        <v>2865</v>
      </c>
      <c r="H38" s="175">
        <v>976</v>
      </c>
    </row>
    <row r="39" spans="1:8" s="57" customFormat="1" ht="14.25" customHeight="1">
      <c r="A39" s="62" t="s">
        <v>60</v>
      </c>
      <c r="B39" s="174">
        <v>97</v>
      </c>
      <c r="C39" s="174">
        <v>138</v>
      </c>
      <c r="D39" s="174">
        <v>9616</v>
      </c>
      <c r="E39" s="174">
        <v>9438</v>
      </c>
      <c r="F39" s="174">
        <v>1234</v>
      </c>
      <c r="G39" s="174">
        <v>6645</v>
      </c>
      <c r="H39" s="175">
        <v>1059</v>
      </c>
    </row>
    <row r="40" spans="1:8" s="57" customFormat="1" ht="14.25" customHeight="1">
      <c r="A40" s="62" t="s">
        <v>61</v>
      </c>
      <c r="B40" s="174">
        <v>13</v>
      </c>
      <c r="C40" s="174">
        <v>13</v>
      </c>
      <c r="D40" s="174">
        <v>589</v>
      </c>
      <c r="E40" s="174">
        <v>730</v>
      </c>
      <c r="F40" s="174">
        <v>190</v>
      </c>
      <c r="G40" s="174">
        <v>443</v>
      </c>
      <c r="H40" s="175">
        <v>122</v>
      </c>
    </row>
    <row r="41" spans="1:8" s="57" customFormat="1" ht="14.25" customHeight="1">
      <c r="A41" s="62" t="s">
        <v>62</v>
      </c>
      <c r="B41" s="174">
        <v>22</v>
      </c>
      <c r="C41" s="174">
        <v>36</v>
      </c>
      <c r="D41" s="174">
        <v>1113</v>
      </c>
      <c r="E41" s="174">
        <v>1224</v>
      </c>
      <c r="F41" s="174">
        <v>357</v>
      </c>
      <c r="G41" s="174">
        <v>963</v>
      </c>
      <c r="H41" s="175">
        <v>316</v>
      </c>
    </row>
    <row r="42" spans="1:8" s="57" customFormat="1" ht="14.25" customHeight="1">
      <c r="A42" s="62" t="s">
        <v>63</v>
      </c>
      <c r="B42" s="174">
        <v>77</v>
      </c>
      <c r="C42" s="174">
        <v>107</v>
      </c>
      <c r="D42" s="174">
        <v>6527</v>
      </c>
      <c r="E42" s="174">
        <v>6752</v>
      </c>
      <c r="F42" s="174">
        <v>1168</v>
      </c>
      <c r="G42" s="174">
        <v>4661</v>
      </c>
      <c r="H42" s="175">
        <v>996</v>
      </c>
    </row>
    <row r="43" spans="1:8" s="57" customFormat="1" ht="14.25" customHeight="1">
      <c r="A43" s="62" t="s">
        <v>64</v>
      </c>
      <c r="B43" s="174">
        <v>40</v>
      </c>
      <c r="C43" s="174">
        <v>56</v>
      </c>
      <c r="D43" s="174">
        <v>2857</v>
      </c>
      <c r="E43" s="174">
        <v>2676</v>
      </c>
      <c r="F43" s="174">
        <v>899</v>
      </c>
      <c r="G43" s="174">
        <v>1928</v>
      </c>
      <c r="H43" s="175">
        <v>735</v>
      </c>
    </row>
    <row r="44" spans="1:8" s="57" customFormat="1">
      <c r="B44" s="48"/>
      <c r="C44" s="48"/>
      <c r="D44" s="48"/>
      <c r="E44" s="48"/>
      <c r="F44" s="48"/>
      <c r="G44" s="48"/>
      <c r="H44" s="48"/>
    </row>
  </sheetData>
  <mergeCells count="12">
    <mergeCell ref="G5:H5"/>
    <mergeCell ref="A25:H25"/>
    <mergeCell ref="A1:H1"/>
    <mergeCell ref="A2:H2"/>
    <mergeCell ref="G3:H3"/>
    <mergeCell ref="A4:A6"/>
    <mergeCell ref="B4:B6"/>
    <mergeCell ref="C4:C6"/>
    <mergeCell ref="D4:D6"/>
    <mergeCell ref="E4:H4"/>
    <mergeCell ref="E5:E6"/>
    <mergeCell ref="F5:F6"/>
  </mergeCells>
  <hyperlinks>
    <hyperlink ref="G3" location="'Spis tablic'!A4" display="Powrót do spisu treści" xr:uid="{00000000-0004-0000-0600-000000000000}"/>
    <hyperlink ref="G3:H3" location="'Spis tablic  List of tables'!A15" display="'Spis tablic  List of tables'!A15" xr:uid="{00000000-0004-0000-0600-000001000000}"/>
  </hyperlinks>
  <pageMargins left="0.7" right="0.7" top="0.75" bottom="0.75" header="0.3" footer="0.3"/>
  <pageSetup paperSize="9" scale="80" fitToWidth="0" fitToHeight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J45"/>
  <sheetViews>
    <sheetView zoomScaleNormal="100" workbookViewId="0">
      <pane ySplit="6" topLeftCell="A7" activePane="bottomLeft" state="frozen"/>
      <selection sqref="A1:Q1"/>
      <selection pane="bottomLeft" activeCell="G3" sqref="G3:H3"/>
    </sheetView>
  </sheetViews>
  <sheetFormatPr defaultColWidth="9.1796875" defaultRowHeight="14.5"/>
  <cols>
    <col min="1" max="1" width="25" style="50" customWidth="1"/>
    <col min="2" max="6" width="11" style="50" customWidth="1"/>
    <col min="7" max="8" width="12.1796875" style="50" customWidth="1"/>
    <col min="9" max="16384" width="9.1796875" style="50"/>
  </cols>
  <sheetData>
    <row r="1" spans="1:10" s="39" customFormat="1" ht="31.4" customHeight="1">
      <c r="A1" s="545" t="s">
        <v>1156</v>
      </c>
      <c r="B1" s="545"/>
      <c r="C1" s="545"/>
      <c r="D1" s="545"/>
      <c r="E1" s="545"/>
      <c r="F1" s="545"/>
      <c r="G1" s="545"/>
      <c r="H1" s="545"/>
    </row>
    <row r="2" spans="1:10" s="39" customFormat="1" ht="29.15" customHeight="1">
      <c r="A2" s="546" t="s">
        <v>1157</v>
      </c>
      <c r="B2" s="546"/>
      <c r="C2" s="546"/>
      <c r="D2" s="546"/>
      <c r="E2" s="546"/>
      <c r="F2" s="546"/>
      <c r="G2" s="546"/>
      <c r="H2" s="546"/>
    </row>
    <row r="3" spans="1:10" s="39" customFormat="1" ht="27" customHeight="1">
      <c r="A3" s="59"/>
      <c r="B3" s="59"/>
      <c r="C3" s="59"/>
      <c r="D3" s="59"/>
      <c r="E3" s="59"/>
      <c r="F3" s="59"/>
      <c r="G3" s="537" t="s">
        <v>5</v>
      </c>
      <c r="H3" s="547"/>
    </row>
    <row r="4" spans="1:10" s="41" customFormat="1" ht="36.75" customHeight="1">
      <c r="A4" s="548" t="s">
        <v>6</v>
      </c>
      <c r="B4" s="539" t="s">
        <v>34</v>
      </c>
      <c r="C4" s="539" t="s">
        <v>35</v>
      </c>
      <c r="D4" s="539" t="s">
        <v>1129</v>
      </c>
      <c r="E4" s="543" t="s">
        <v>36</v>
      </c>
      <c r="F4" s="544"/>
      <c r="G4" s="544"/>
      <c r="H4" s="544"/>
      <c r="J4" s="48"/>
    </row>
    <row r="5" spans="1:10" s="41" customFormat="1" ht="36" customHeight="1">
      <c r="A5" s="549"/>
      <c r="B5" s="551"/>
      <c r="C5" s="551"/>
      <c r="D5" s="551"/>
      <c r="E5" s="539" t="s">
        <v>80</v>
      </c>
      <c r="F5" s="541" t="s">
        <v>37</v>
      </c>
      <c r="G5" s="543" t="s">
        <v>38</v>
      </c>
      <c r="H5" s="544"/>
    </row>
    <row r="6" spans="1:10" s="41" customFormat="1" ht="53.25" customHeight="1">
      <c r="A6" s="550"/>
      <c r="B6" s="540"/>
      <c r="C6" s="540"/>
      <c r="D6" s="540"/>
      <c r="E6" s="540"/>
      <c r="F6" s="542"/>
      <c r="G6" s="44" t="s">
        <v>39</v>
      </c>
      <c r="H6" s="45" t="s">
        <v>40</v>
      </c>
    </row>
    <row r="7" spans="1:10" s="41" customFormat="1" ht="21.65" customHeight="1">
      <c r="A7" s="46" t="s">
        <v>1158</v>
      </c>
      <c r="B7" s="180">
        <v>102</v>
      </c>
      <c r="C7" s="180">
        <v>234</v>
      </c>
      <c r="D7" s="180">
        <v>7874</v>
      </c>
      <c r="E7" s="180">
        <v>7829</v>
      </c>
      <c r="F7" s="180">
        <v>3297</v>
      </c>
      <c r="G7" s="180">
        <v>6686</v>
      </c>
      <c r="H7" s="181">
        <v>2958</v>
      </c>
    </row>
    <row r="8" spans="1:10" s="41" customFormat="1" ht="14.25" customHeight="1">
      <c r="A8" s="252">
        <v>2024</v>
      </c>
      <c r="B8" s="172">
        <v>120</v>
      </c>
      <c r="C8" s="172">
        <v>237</v>
      </c>
      <c r="D8" s="172">
        <v>13882</v>
      </c>
      <c r="E8" s="172">
        <v>13937</v>
      </c>
      <c r="F8" s="172">
        <v>6138</v>
      </c>
      <c r="G8" s="172">
        <v>12170</v>
      </c>
      <c r="H8" s="173">
        <v>5457</v>
      </c>
    </row>
    <row r="9" spans="1:10" s="41" customFormat="1" ht="14.25" customHeight="1">
      <c r="A9" s="54" t="s">
        <v>49</v>
      </c>
      <c r="B9" s="174">
        <v>5</v>
      </c>
      <c r="C9" s="174">
        <v>10</v>
      </c>
      <c r="D9" s="174">
        <v>690</v>
      </c>
      <c r="E9" s="174">
        <v>663</v>
      </c>
      <c r="F9" s="174">
        <v>394</v>
      </c>
      <c r="G9" s="174">
        <v>612</v>
      </c>
      <c r="H9" s="175">
        <v>375</v>
      </c>
    </row>
    <row r="10" spans="1:10" s="41" customFormat="1" ht="14.25" customHeight="1">
      <c r="A10" s="54" t="s">
        <v>50</v>
      </c>
      <c r="B10" s="174">
        <v>4</v>
      </c>
      <c r="C10" s="174">
        <v>4</v>
      </c>
      <c r="D10" s="174">
        <v>137</v>
      </c>
      <c r="E10" s="174">
        <v>186</v>
      </c>
      <c r="F10" s="174">
        <v>52</v>
      </c>
      <c r="G10" s="174">
        <v>141</v>
      </c>
      <c r="H10" s="175">
        <v>40</v>
      </c>
      <c r="I10" s="55"/>
      <c r="J10" s="55"/>
    </row>
    <row r="11" spans="1:10" s="41" customFormat="1" ht="14.25" customHeight="1">
      <c r="A11" s="54" t="s">
        <v>51</v>
      </c>
      <c r="B11" s="174">
        <v>1</v>
      </c>
      <c r="C11" s="174">
        <v>3</v>
      </c>
      <c r="D11" s="174">
        <v>45</v>
      </c>
      <c r="E11" s="174">
        <v>45</v>
      </c>
      <c r="F11" s="174">
        <v>15</v>
      </c>
      <c r="G11" s="174">
        <v>15</v>
      </c>
      <c r="H11" s="171" t="s">
        <v>1074</v>
      </c>
      <c r="I11" s="55"/>
      <c r="J11" s="55"/>
    </row>
    <row r="12" spans="1:10" s="41" customFormat="1" ht="14.25" customHeight="1">
      <c r="A12" s="54" t="s">
        <v>52</v>
      </c>
      <c r="B12" s="174">
        <v>2</v>
      </c>
      <c r="C12" s="174">
        <v>7</v>
      </c>
      <c r="D12" s="174">
        <v>328</v>
      </c>
      <c r="E12" s="174">
        <v>301</v>
      </c>
      <c r="F12" s="174">
        <v>193</v>
      </c>
      <c r="G12" s="174">
        <v>217</v>
      </c>
      <c r="H12" s="175">
        <v>163</v>
      </c>
      <c r="I12" s="55"/>
      <c r="J12" s="55"/>
    </row>
    <row r="13" spans="1:10" s="41" customFormat="1" ht="14.25" customHeight="1">
      <c r="A13" s="54" t="s">
        <v>53</v>
      </c>
      <c r="B13" s="174">
        <v>11</v>
      </c>
      <c r="C13" s="174">
        <v>27</v>
      </c>
      <c r="D13" s="174">
        <v>1125</v>
      </c>
      <c r="E13" s="174">
        <v>1113</v>
      </c>
      <c r="F13" s="174">
        <v>460</v>
      </c>
      <c r="G13" s="174">
        <v>1000</v>
      </c>
      <c r="H13" s="175">
        <v>419</v>
      </c>
      <c r="I13" s="55"/>
      <c r="J13" s="55"/>
    </row>
    <row r="14" spans="1:10" s="41" customFormat="1" ht="14.25" customHeight="1">
      <c r="A14" s="54" t="s">
        <v>54</v>
      </c>
      <c r="B14" s="174">
        <v>14</v>
      </c>
      <c r="C14" s="174">
        <v>17</v>
      </c>
      <c r="D14" s="174">
        <v>2013</v>
      </c>
      <c r="E14" s="174">
        <v>1840</v>
      </c>
      <c r="F14" s="174">
        <v>668</v>
      </c>
      <c r="G14" s="174">
        <v>1703</v>
      </c>
      <c r="H14" s="175">
        <v>626</v>
      </c>
      <c r="I14" s="55"/>
      <c r="J14" s="55"/>
    </row>
    <row r="15" spans="1:10" s="41" customFormat="1" ht="14.25" customHeight="1">
      <c r="A15" s="56" t="s">
        <v>55</v>
      </c>
      <c r="B15" s="174">
        <v>18</v>
      </c>
      <c r="C15" s="174">
        <v>35</v>
      </c>
      <c r="D15" s="174">
        <v>2023</v>
      </c>
      <c r="E15" s="174">
        <v>2296</v>
      </c>
      <c r="F15" s="174">
        <v>841</v>
      </c>
      <c r="G15" s="174">
        <v>2182</v>
      </c>
      <c r="H15" s="175">
        <v>783</v>
      </c>
      <c r="I15" s="55"/>
      <c r="J15" s="55"/>
    </row>
    <row r="16" spans="1:10" s="41" customFormat="1" ht="14.25" customHeight="1">
      <c r="A16" s="56" t="s">
        <v>56</v>
      </c>
      <c r="B16" s="174">
        <v>4</v>
      </c>
      <c r="C16" s="174">
        <v>11</v>
      </c>
      <c r="D16" s="174">
        <v>354</v>
      </c>
      <c r="E16" s="174">
        <v>480</v>
      </c>
      <c r="F16" s="174">
        <v>57</v>
      </c>
      <c r="G16" s="174">
        <v>395</v>
      </c>
      <c r="H16" s="175">
        <v>57</v>
      </c>
      <c r="I16" s="55"/>
      <c r="J16" s="55"/>
    </row>
    <row r="17" spans="1:10" s="41" customFormat="1" ht="14.25" customHeight="1">
      <c r="A17" s="56" t="s">
        <v>57</v>
      </c>
      <c r="B17" s="174">
        <v>9</v>
      </c>
      <c r="C17" s="174">
        <v>14</v>
      </c>
      <c r="D17" s="174">
        <v>325</v>
      </c>
      <c r="E17" s="174">
        <v>550</v>
      </c>
      <c r="F17" s="174">
        <v>308</v>
      </c>
      <c r="G17" s="174">
        <v>340</v>
      </c>
      <c r="H17" s="175">
        <v>126</v>
      </c>
      <c r="I17" s="55"/>
      <c r="J17" s="55"/>
    </row>
    <row r="18" spans="1:10" ht="14.25" customHeight="1">
      <c r="A18" s="56" t="s">
        <v>58</v>
      </c>
      <c r="B18" s="174">
        <v>3</v>
      </c>
      <c r="C18" s="174">
        <v>5</v>
      </c>
      <c r="D18" s="174">
        <v>133</v>
      </c>
      <c r="E18" s="174">
        <v>229</v>
      </c>
      <c r="F18" s="174">
        <v>48</v>
      </c>
      <c r="G18" s="174">
        <v>145</v>
      </c>
      <c r="H18" s="175">
        <v>32</v>
      </c>
      <c r="I18" s="55"/>
      <c r="J18" s="60"/>
    </row>
    <row r="19" spans="1:10" ht="14.25" customHeight="1">
      <c r="A19" s="56" t="s">
        <v>59</v>
      </c>
      <c r="B19" s="174">
        <v>13</v>
      </c>
      <c r="C19" s="174">
        <v>35</v>
      </c>
      <c r="D19" s="174">
        <v>1864</v>
      </c>
      <c r="E19" s="174">
        <v>1729</v>
      </c>
      <c r="F19" s="174">
        <v>723</v>
      </c>
      <c r="G19" s="174">
        <v>1585</v>
      </c>
      <c r="H19" s="175">
        <v>677</v>
      </c>
      <c r="I19" s="55"/>
      <c r="J19" s="60"/>
    </row>
    <row r="20" spans="1:10" ht="14.25" customHeight="1">
      <c r="A20" s="56" t="s">
        <v>60</v>
      </c>
      <c r="B20" s="174">
        <v>14</v>
      </c>
      <c r="C20" s="174">
        <v>32</v>
      </c>
      <c r="D20" s="174">
        <v>2045</v>
      </c>
      <c r="E20" s="174">
        <v>1961</v>
      </c>
      <c r="F20" s="174">
        <v>1005</v>
      </c>
      <c r="G20" s="174">
        <v>1774</v>
      </c>
      <c r="H20" s="175">
        <v>909</v>
      </c>
      <c r="I20" s="55"/>
      <c r="J20" s="60"/>
    </row>
    <row r="21" spans="1:10" ht="14.25" customHeight="1">
      <c r="A21" s="56" t="s">
        <v>61</v>
      </c>
      <c r="B21" s="174">
        <v>1</v>
      </c>
      <c r="C21" s="174">
        <v>1</v>
      </c>
      <c r="D21" s="174">
        <v>89</v>
      </c>
      <c r="E21" s="174">
        <v>89</v>
      </c>
      <c r="F21" s="170">
        <v>89</v>
      </c>
      <c r="G21" s="170">
        <v>89</v>
      </c>
      <c r="H21" s="171">
        <v>89</v>
      </c>
      <c r="I21" s="55"/>
      <c r="J21" s="60"/>
    </row>
    <row r="22" spans="1:10" ht="14.25" customHeight="1">
      <c r="A22" s="56" t="s">
        <v>62</v>
      </c>
      <c r="B22" s="176">
        <v>4</v>
      </c>
      <c r="C22" s="176">
        <v>12</v>
      </c>
      <c r="D22" s="176">
        <v>705</v>
      </c>
      <c r="E22" s="176">
        <v>705</v>
      </c>
      <c r="F22" s="176">
        <v>378</v>
      </c>
      <c r="G22" s="176">
        <v>668</v>
      </c>
      <c r="H22" s="177">
        <v>371</v>
      </c>
      <c r="I22" s="55"/>
      <c r="J22" s="60"/>
    </row>
    <row r="23" spans="1:10" ht="14.25" customHeight="1">
      <c r="A23" s="56" t="s">
        <v>63</v>
      </c>
      <c r="B23" s="174">
        <v>9</v>
      </c>
      <c r="C23" s="174">
        <v>9</v>
      </c>
      <c r="D23" s="174">
        <v>966</v>
      </c>
      <c r="E23" s="174">
        <v>796</v>
      </c>
      <c r="F23" s="174">
        <v>303</v>
      </c>
      <c r="G23" s="174">
        <v>691</v>
      </c>
      <c r="H23" s="175">
        <v>262</v>
      </c>
      <c r="I23" s="55"/>
      <c r="J23" s="60"/>
    </row>
    <row r="24" spans="1:10" ht="14.25" customHeight="1">
      <c r="A24" s="56" t="s">
        <v>64</v>
      </c>
      <c r="B24" s="174">
        <v>8</v>
      </c>
      <c r="C24" s="174">
        <v>15</v>
      </c>
      <c r="D24" s="174">
        <v>1040</v>
      </c>
      <c r="E24" s="174">
        <v>954</v>
      </c>
      <c r="F24" s="174">
        <v>604</v>
      </c>
      <c r="G24" s="174">
        <v>613</v>
      </c>
      <c r="H24" s="175">
        <v>528</v>
      </c>
      <c r="I24" s="55"/>
      <c r="J24" s="60"/>
    </row>
    <row r="25" spans="1:10" s="57" customFormat="1" ht="40.4" customHeight="1">
      <c r="A25" s="557" t="s">
        <v>66</v>
      </c>
      <c r="B25" s="558"/>
      <c r="C25" s="558"/>
      <c r="D25" s="558"/>
      <c r="E25" s="558"/>
      <c r="F25" s="558"/>
      <c r="G25" s="558"/>
      <c r="H25" s="559"/>
      <c r="I25" s="58"/>
      <c r="J25" s="60"/>
    </row>
    <row r="26" spans="1:10" s="57" customFormat="1" ht="21" customHeight="1">
      <c r="A26" s="46" t="s">
        <v>1155</v>
      </c>
      <c r="B26" s="182">
        <v>48</v>
      </c>
      <c r="C26" s="182">
        <v>87</v>
      </c>
      <c r="D26" s="182">
        <v>4337</v>
      </c>
      <c r="E26" s="182">
        <v>4303</v>
      </c>
      <c r="F26" s="182">
        <v>1923</v>
      </c>
      <c r="G26" s="182">
        <v>3426</v>
      </c>
      <c r="H26" s="183">
        <v>1668</v>
      </c>
      <c r="I26" s="58"/>
      <c r="J26" s="58"/>
    </row>
    <row r="27" spans="1:10" s="57" customFormat="1" ht="14.25" customHeight="1">
      <c r="A27" s="252">
        <v>2024</v>
      </c>
      <c r="B27" s="184">
        <v>90</v>
      </c>
      <c r="C27" s="184">
        <v>165</v>
      </c>
      <c r="D27" s="184">
        <v>10996</v>
      </c>
      <c r="E27" s="184">
        <v>10973</v>
      </c>
      <c r="F27" s="184">
        <v>5376</v>
      </c>
      <c r="G27" s="184">
        <v>9410</v>
      </c>
      <c r="H27" s="185">
        <v>4769</v>
      </c>
      <c r="I27" s="58"/>
      <c r="J27" s="58"/>
    </row>
    <row r="28" spans="1:10" s="57" customFormat="1" ht="14.25" customHeight="1">
      <c r="A28" s="61" t="s">
        <v>49</v>
      </c>
      <c r="B28" s="186">
        <v>5</v>
      </c>
      <c r="C28" s="186">
        <v>10</v>
      </c>
      <c r="D28" s="187">
        <v>690</v>
      </c>
      <c r="E28" s="186">
        <v>663</v>
      </c>
      <c r="F28" s="186">
        <v>394</v>
      </c>
      <c r="G28" s="186">
        <v>612</v>
      </c>
      <c r="H28" s="188">
        <v>375</v>
      </c>
      <c r="I28" s="58"/>
      <c r="J28" s="58"/>
    </row>
    <row r="29" spans="1:10" s="57" customFormat="1" ht="14.25" customHeight="1">
      <c r="A29" s="61" t="s">
        <v>50</v>
      </c>
      <c r="B29" s="186">
        <v>2</v>
      </c>
      <c r="C29" s="186">
        <v>2</v>
      </c>
      <c r="D29" s="187">
        <v>107</v>
      </c>
      <c r="E29" s="186">
        <v>107</v>
      </c>
      <c r="F29" s="186">
        <v>33</v>
      </c>
      <c r="G29" s="186">
        <v>64</v>
      </c>
      <c r="H29" s="188">
        <v>21</v>
      </c>
      <c r="I29" s="58"/>
      <c r="J29" s="58"/>
    </row>
    <row r="30" spans="1:10" s="57" customFormat="1" ht="14.25" customHeight="1">
      <c r="A30" s="61" t="s">
        <v>51</v>
      </c>
      <c r="B30" s="186">
        <v>1</v>
      </c>
      <c r="C30" s="186">
        <v>3</v>
      </c>
      <c r="D30" s="187">
        <v>45</v>
      </c>
      <c r="E30" s="186">
        <v>45</v>
      </c>
      <c r="F30" s="189">
        <v>15</v>
      </c>
      <c r="G30" s="186">
        <v>15</v>
      </c>
      <c r="H30" s="171" t="s">
        <v>1074</v>
      </c>
      <c r="I30" s="58"/>
      <c r="J30" s="58"/>
    </row>
    <row r="31" spans="1:10" s="57" customFormat="1" ht="14.25" customHeight="1">
      <c r="A31" s="61" t="s">
        <v>52</v>
      </c>
      <c r="B31" s="186">
        <v>1</v>
      </c>
      <c r="C31" s="186">
        <v>3</v>
      </c>
      <c r="D31" s="187">
        <v>267</v>
      </c>
      <c r="E31" s="186">
        <v>240</v>
      </c>
      <c r="F31" s="176">
        <v>135</v>
      </c>
      <c r="G31" s="176">
        <v>156</v>
      </c>
      <c r="H31" s="171">
        <v>105</v>
      </c>
      <c r="I31" s="58"/>
      <c r="J31" s="58"/>
    </row>
    <row r="32" spans="1:10" s="57" customFormat="1" ht="14.25" customHeight="1">
      <c r="A32" s="61" t="s">
        <v>53</v>
      </c>
      <c r="B32" s="189">
        <v>8</v>
      </c>
      <c r="C32" s="189">
        <v>14</v>
      </c>
      <c r="D32" s="187">
        <v>871</v>
      </c>
      <c r="E32" s="189">
        <v>859</v>
      </c>
      <c r="F32" s="189">
        <v>393</v>
      </c>
      <c r="G32" s="189">
        <v>771</v>
      </c>
      <c r="H32" s="190">
        <v>352</v>
      </c>
      <c r="I32" s="58"/>
      <c r="J32" s="58"/>
    </row>
    <row r="33" spans="1:10" s="57" customFormat="1" ht="14.25" customHeight="1">
      <c r="A33" s="61" t="s">
        <v>54</v>
      </c>
      <c r="B33" s="186">
        <v>9</v>
      </c>
      <c r="C33" s="186">
        <v>12</v>
      </c>
      <c r="D33" s="187">
        <v>1368</v>
      </c>
      <c r="E33" s="186">
        <v>1142</v>
      </c>
      <c r="F33" s="186">
        <v>601</v>
      </c>
      <c r="G33" s="186">
        <v>1040</v>
      </c>
      <c r="H33" s="188">
        <v>569</v>
      </c>
      <c r="I33" s="58"/>
      <c r="J33" s="58"/>
    </row>
    <row r="34" spans="1:10" s="57" customFormat="1" ht="14.25" customHeight="1">
      <c r="A34" s="62" t="s">
        <v>55</v>
      </c>
      <c r="B34" s="174">
        <v>11</v>
      </c>
      <c r="C34" s="174">
        <v>16</v>
      </c>
      <c r="D34" s="187">
        <v>1441</v>
      </c>
      <c r="E34" s="174">
        <v>1642</v>
      </c>
      <c r="F34" s="174">
        <v>571</v>
      </c>
      <c r="G34" s="174">
        <v>1560</v>
      </c>
      <c r="H34" s="175">
        <v>530</v>
      </c>
      <c r="I34" s="58"/>
      <c r="J34" s="58"/>
    </row>
    <row r="35" spans="1:10" s="57" customFormat="1" ht="14.25" customHeight="1">
      <c r="A35" s="62" t="s">
        <v>56</v>
      </c>
      <c r="B35" s="174">
        <v>4</v>
      </c>
      <c r="C35" s="174">
        <v>11</v>
      </c>
      <c r="D35" s="187">
        <v>354</v>
      </c>
      <c r="E35" s="174">
        <v>480</v>
      </c>
      <c r="F35" s="174">
        <v>57</v>
      </c>
      <c r="G35" s="174">
        <v>395</v>
      </c>
      <c r="H35" s="175">
        <v>57</v>
      </c>
      <c r="I35" s="63"/>
      <c r="J35" s="58"/>
    </row>
    <row r="36" spans="1:10" s="57" customFormat="1" ht="14.25" customHeight="1">
      <c r="A36" s="62" t="s">
        <v>57</v>
      </c>
      <c r="B36" s="174">
        <v>6</v>
      </c>
      <c r="C36" s="174">
        <v>7</v>
      </c>
      <c r="D36" s="187">
        <v>250</v>
      </c>
      <c r="E36" s="174">
        <v>453</v>
      </c>
      <c r="F36" s="174">
        <v>272</v>
      </c>
      <c r="G36" s="174">
        <v>263</v>
      </c>
      <c r="H36" s="175">
        <v>95</v>
      </c>
      <c r="I36" s="63"/>
      <c r="J36" s="58"/>
    </row>
    <row r="37" spans="1:10" s="57" customFormat="1" ht="14.25" customHeight="1">
      <c r="A37" s="62" t="s">
        <v>58</v>
      </c>
      <c r="B37" s="174">
        <v>2</v>
      </c>
      <c r="C37" s="174">
        <v>4</v>
      </c>
      <c r="D37" s="187">
        <v>84</v>
      </c>
      <c r="E37" s="174">
        <v>180</v>
      </c>
      <c r="F37" s="174">
        <v>30</v>
      </c>
      <c r="G37" s="174">
        <v>140</v>
      </c>
      <c r="H37" s="175">
        <v>30</v>
      </c>
      <c r="I37" s="63"/>
      <c r="J37" s="58"/>
    </row>
    <row r="38" spans="1:10" s="57" customFormat="1" ht="14.25" customHeight="1">
      <c r="A38" s="62" t="s">
        <v>59</v>
      </c>
      <c r="B38" s="176">
        <v>11</v>
      </c>
      <c r="C38" s="176">
        <v>22</v>
      </c>
      <c r="D38" s="176">
        <v>1224</v>
      </c>
      <c r="E38" s="176">
        <v>1154</v>
      </c>
      <c r="F38" s="176">
        <v>555</v>
      </c>
      <c r="G38" s="176">
        <v>1010</v>
      </c>
      <c r="H38" s="177">
        <v>509</v>
      </c>
      <c r="I38" s="63"/>
      <c r="J38" s="58"/>
    </row>
    <row r="39" spans="1:10" s="57" customFormat="1" ht="14.25" customHeight="1">
      <c r="A39" s="62" t="s">
        <v>60</v>
      </c>
      <c r="B39" s="174">
        <v>12</v>
      </c>
      <c r="C39" s="174">
        <v>29</v>
      </c>
      <c r="D39" s="174">
        <v>1930</v>
      </c>
      <c r="E39" s="174">
        <v>1852</v>
      </c>
      <c r="F39" s="174">
        <v>1004</v>
      </c>
      <c r="G39" s="174">
        <v>1665</v>
      </c>
      <c r="H39" s="175">
        <v>908</v>
      </c>
      <c r="I39" s="63"/>
      <c r="J39" s="58"/>
    </row>
    <row r="40" spans="1:10" s="57" customFormat="1" ht="14.25" customHeight="1">
      <c r="A40" s="62" t="s">
        <v>61</v>
      </c>
      <c r="B40" s="174">
        <v>1</v>
      </c>
      <c r="C40" s="174">
        <v>1</v>
      </c>
      <c r="D40" s="174">
        <v>89</v>
      </c>
      <c r="E40" s="174">
        <v>89</v>
      </c>
      <c r="F40" s="174">
        <v>89</v>
      </c>
      <c r="G40" s="174">
        <v>89</v>
      </c>
      <c r="H40" s="175">
        <v>89</v>
      </c>
      <c r="I40" s="63"/>
      <c r="J40" s="58"/>
    </row>
    <row r="41" spans="1:10" s="57" customFormat="1" ht="14.25" customHeight="1">
      <c r="A41" s="62" t="s">
        <v>62</v>
      </c>
      <c r="B41" s="176">
        <v>3</v>
      </c>
      <c r="C41" s="176">
        <v>10</v>
      </c>
      <c r="D41" s="176">
        <v>555</v>
      </c>
      <c r="E41" s="176">
        <v>555</v>
      </c>
      <c r="F41" s="176">
        <v>368</v>
      </c>
      <c r="G41" s="176">
        <v>538</v>
      </c>
      <c r="H41" s="177">
        <v>361</v>
      </c>
      <c r="I41" s="63"/>
      <c r="J41" s="58"/>
    </row>
    <row r="42" spans="1:10" s="57" customFormat="1" ht="14.25" customHeight="1">
      <c r="A42" s="62" t="s">
        <v>63</v>
      </c>
      <c r="B42" s="174">
        <v>8</v>
      </c>
      <c r="C42" s="174">
        <v>8</v>
      </c>
      <c r="D42" s="174">
        <v>751</v>
      </c>
      <c r="E42" s="174">
        <v>598</v>
      </c>
      <c r="F42" s="174">
        <v>295</v>
      </c>
      <c r="G42" s="174">
        <v>493</v>
      </c>
      <c r="H42" s="175">
        <v>254</v>
      </c>
      <c r="I42" s="63"/>
      <c r="J42" s="58"/>
    </row>
    <row r="43" spans="1:10" s="57" customFormat="1" ht="14.25" customHeight="1">
      <c r="A43" s="62" t="s">
        <v>64</v>
      </c>
      <c r="B43" s="174">
        <v>6</v>
      </c>
      <c r="C43" s="174">
        <v>13</v>
      </c>
      <c r="D43" s="174">
        <v>970</v>
      </c>
      <c r="E43" s="174">
        <v>914</v>
      </c>
      <c r="F43" s="174">
        <v>564</v>
      </c>
      <c r="G43" s="174">
        <v>599</v>
      </c>
      <c r="H43" s="175">
        <v>514</v>
      </c>
      <c r="I43" s="63"/>
      <c r="J43" s="58"/>
    </row>
    <row r="44" spans="1:10" s="57" customFormat="1">
      <c r="B44" s="48"/>
      <c r="C44" s="48"/>
      <c r="D44" s="48"/>
      <c r="E44" s="48"/>
      <c r="F44" s="48"/>
      <c r="G44" s="48"/>
      <c r="H44" s="63"/>
      <c r="I44" s="48"/>
    </row>
    <row r="45" spans="1:10">
      <c r="H45" s="241"/>
    </row>
  </sheetData>
  <mergeCells count="12">
    <mergeCell ref="G5:H5"/>
    <mergeCell ref="A25:H25"/>
    <mergeCell ref="A1:H1"/>
    <mergeCell ref="A2:H2"/>
    <mergeCell ref="G3:H3"/>
    <mergeCell ref="A4:A6"/>
    <mergeCell ref="B4:B6"/>
    <mergeCell ref="C4:C6"/>
    <mergeCell ref="D4:D6"/>
    <mergeCell ref="E4:H4"/>
    <mergeCell ref="E5:E6"/>
    <mergeCell ref="F5:F6"/>
  </mergeCells>
  <hyperlinks>
    <hyperlink ref="G3" location="'Spis tablic'!A4" display="Powrót do spisu treści" xr:uid="{00000000-0004-0000-0700-000000000000}"/>
    <hyperlink ref="G3:H3" location="'Spis tablic  List of tables'!A17" display="'Spis tablic  List of tables'!A17" xr:uid="{00000000-0004-0000-0700-000001000000}"/>
  </hyperlinks>
  <pageMargins left="0.7" right="0.7" top="0.75" bottom="0.75" header="0.3" footer="0.3"/>
  <pageSetup paperSize="9" scale="85" fitToWidth="0" fitToHeight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J44"/>
  <sheetViews>
    <sheetView zoomScaleNormal="100" workbookViewId="0">
      <pane ySplit="6" topLeftCell="A7" activePane="bottomLeft" state="frozen"/>
      <selection sqref="A1:Q1"/>
      <selection pane="bottomLeft" activeCell="G3" sqref="G3:H3"/>
    </sheetView>
  </sheetViews>
  <sheetFormatPr defaultColWidth="9.1796875" defaultRowHeight="14.5"/>
  <cols>
    <col min="1" max="1" width="22.54296875" style="50" customWidth="1"/>
    <col min="2" max="6" width="11.1796875" style="50" customWidth="1"/>
    <col min="7" max="8" width="12.1796875" style="50" customWidth="1"/>
    <col min="9" max="16384" width="9.1796875" style="50"/>
  </cols>
  <sheetData>
    <row r="1" spans="1:10" s="39" customFormat="1" ht="28.75" customHeight="1">
      <c r="A1" s="545" t="s">
        <v>1159</v>
      </c>
      <c r="B1" s="545"/>
      <c r="C1" s="545"/>
      <c r="D1" s="545"/>
      <c r="E1" s="545"/>
      <c r="F1" s="545"/>
      <c r="G1" s="545"/>
      <c r="H1" s="545"/>
    </row>
    <row r="2" spans="1:10" s="39" customFormat="1" ht="26.5" customHeight="1">
      <c r="A2" s="556" t="s">
        <v>1160</v>
      </c>
      <c r="B2" s="556"/>
      <c r="C2" s="556"/>
      <c r="D2" s="556"/>
      <c r="E2" s="556"/>
      <c r="F2" s="556"/>
      <c r="G2" s="556"/>
      <c r="H2" s="556"/>
    </row>
    <row r="3" spans="1:10" s="39" customFormat="1" ht="29.5" customHeight="1">
      <c r="A3" s="59"/>
      <c r="B3" s="59"/>
      <c r="C3" s="59"/>
      <c r="D3" s="59"/>
      <c r="E3" s="59"/>
      <c r="F3" s="59"/>
      <c r="G3" s="537" t="s">
        <v>5</v>
      </c>
      <c r="H3" s="547"/>
    </row>
    <row r="4" spans="1:10" s="41" customFormat="1" ht="36.75" customHeight="1">
      <c r="A4" s="548" t="s">
        <v>6</v>
      </c>
      <c r="B4" s="539" t="s">
        <v>34</v>
      </c>
      <c r="C4" s="539" t="s">
        <v>35</v>
      </c>
      <c r="D4" s="539" t="s">
        <v>1134</v>
      </c>
      <c r="E4" s="543" t="s">
        <v>36</v>
      </c>
      <c r="F4" s="544"/>
      <c r="G4" s="544"/>
      <c r="H4" s="544"/>
      <c r="J4" s="48"/>
    </row>
    <row r="5" spans="1:10" s="41" customFormat="1" ht="33" customHeight="1">
      <c r="A5" s="549"/>
      <c r="B5" s="551"/>
      <c r="C5" s="551"/>
      <c r="D5" s="551"/>
      <c r="E5" s="539" t="s">
        <v>80</v>
      </c>
      <c r="F5" s="541" t="s">
        <v>37</v>
      </c>
      <c r="G5" s="543" t="s">
        <v>38</v>
      </c>
      <c r="H5" s="544"/>
    </row>
    <row r="6" spans="1:10" s="41" customFormat="1" ht="53.25" customHeight="1">
      <c r="A6" s="550"/>
      <c r="B6" s="540"/>
      <c r="C6" s="540"/>
      <c r="D6" s="540"/>
      <c r="E6" s="540"/>
      <c r="F6" s="542"/>
      <c r="G6" s="44" t="s">
        <v>39</v>
      </c>
      <c r="H6" s="45" t="s">
        <v>40</v>
      </c>
    </row>
    <row r="7" spans="1:10" s="41" customFormat="1" ht="21" customHeight="1">
      <c r="A7" s="46" t="s">
        <v>1161</v>
      </c>
      <c r="B7" s="180">
        <v>4741</v>
      </c>
      <c r="C7" s="180">
        <v>8210</v>
      </c>
      <c r="D7" s="180">
        <v>319168</v>
      </c>
      <c r="E7" s="180">
        <v>322061</v>
      </c>
      <c r="F7" s="180">
        <v>127209</v>
      </c>
      <c r="G7" s="180">
        <v>282712</v>
      </c>
      <c r="H7" s="181">
        <v>114830</v>
      </c>
    </row>
    <row r="8" spans="1:10" s="41" customFormat="1" ht="14.25" customHeight="1">
      <c r="A8" s="252">
        <v>2024</v>
      </c>
      <c r="B8" s="191">
        <v>5054</v>
      </c>
      <c r="C8" s="191">
        <v>8579</v>
      </c>
      <c r="D8" s="191">
        <v>376194</v>
      </c>
      <c r="E8" s="191">
        <v>379826</v>
      </c>
      <c r="F8" s="172">
        <v>150837</v>
      </c>
      <c r="G8" s="172">
        <v>334720</v>
      </c>
      <c r="H8" s="173">
        <v>136101</v>
      </c>
    </row>
    <row r="9" spans="1:10" s="41" customFormat="1" ht="14.25" customHeight="1">
      <c r="A9" s="54" t="s">
        <v>49</v>
      </c>
      <c r="B9" s="192">
        <v>311</v>
      </c>
      <c r="C9" s="192">
        <v>466</v>
      </c>
      <c r="D9" s="192">
        <v>20460</v>
      </c>
      <c r="E9" s="192">
        <v>21022</v>
      </c>
      <c r="F9" s="174">
        <v>7998</v>
      </c>
      <c r="G9" s="174">
        <v>17111</v>
      </c>
      <c r="H9" s="175">
        <v>6891</v>
      </c>
    </row>
    <row r="10" spans="1:10" s="41" customFormat="1" ht="14.25" customHeight="1">
      <c r="A10" s="54" t="s">
        <v>50</v>
      </c>
      <c r="B10" s="192">
        <v>252</v>
      </c>
      <c r="C10" s="192">
        <v>430</v>
      </c>
      <c r="D10" s="192">
        <v>14298</v>
      </c>
      <c r="E10" s="174">
        <v>15402</v>
      </c>
      <c r="F10" s="174">
        <v>6371</v>
      </c>
      <c r="G10" s="174">
        <v>13021</v>
      </c>
      <c r="H10" s="175">
        <v>5563</v>
      </c>
    </row>
    <row r="11" spans="1:10" s="41" customFormat="1" ht="14.25" customHeight="1">
      <c r="A11" s="54" t="s">
        <v>51</v>
      </c>
      <c r="B11" s="192">
        <v>316</v>
      </c>
      <c r="C11" s="192">
        <v>613</v>
      </c>
      <c r="D11" s="192">
        <v>20013</v>
      </c>
      <c r="E11" s="174">
        <v>19478</v>
      </c>
      <c r="F11" s="174">
        <v>7677</v>
      </c>
      <c r="G11" s="174">
        <v>17112</v>
      </c>
      <c r="H11" s="175">
        <v>6815</v>
      </c>
    </row>
    <row r="12" spans="1:10" s="41" customFormat="1" ht="14.25" customHeight="1">
      <c r="A12" s="54" t="s">
        <v>52</v>
      </c>
      <c r="B12" s="192">
        <v>115</v>
      </c>
      <c r="C12" s="192">
        <v>167</v>
      </c>
      <c r="D12" s="192">
        <v>8673</v>
      </c>
      <c r="E12" s="174">
        <v>7423</v>
      </c>
      <c r="F12" s="174">
        <v>2935</v>
      </c>
      <c r="G12" s="174">
        <v>6639</v>
      </c>
      <c r="H12" s="175">
        <v>2700</v>
      </c>
    </row>
    <row r="13" spans="1:10" s="41" customFormat="1" ht="14.25" customHeight="1">
      <c r="A13" s="54" t="s">
        <v>53</v>
      </c>
      <c r="B13" s="192">
        <v>291</v>
      </c>
      <c r="C13" s="192">
        <v>540</v>
      </c>
      <c r="D13" s="192">
        <v>19037</v>
      </c>
      <c r="E13" s="174">
        <v>21830</v>
      </c>
      <c r="F13" s="174">
        <v>8754</v>
      </c>
      <c r="G13" s="174">
        <v>18812</v>
      </c>
      <c r="H13" s="175">
        <v>7811</v>
      </c>
    </row>
    <row r="14" spans="1:10" s="41" customFormat="1" ht="14.25" customHeight="1">
      <c r="A14" s="54" t="s">
        <v>54</v>
      </c>
      <c r="B14" s="192">
        <v>464</v>
      </c>
      <c r="C14" s="192">
        <v>827</v>
      </c>
      <c r="D14" s="192">
        <v>32251</v>
      </c>
      <c r="E14" s="174">
        <v>32378</v>
      </c>
      <c r="F14" s="174">
        <v>12678</v>
      </c>
      <c r="G14" s="174">
        <v>29047</v>
      </c>
      <c r="H14" s="175">
        <v>11499</v>
      </c>
    </row>
    <row r="15" spans="1:10" s="41" customFormat="1" ht="14.25" customHeight="1">
      <c r="A15" s="56" t="s">
        <v>55</v>
      </c>
      <c r="B15" s="176">
        <v>770</v>
      </c>
      <c r="C15" s="176">
        <v>1300</v>
      </c>
      <c r="D15" s="176">
        <v>85544</v>
      </c>
      <c r="E15" s="174">
        <v>82945</v>
      </c>
      <c r="F15" s="174">
        <v>34059</v>
      </c>
      <c r="G15" s="174">
        <v>74716</v>
      </c>
      <c r="H15" s="175">
        <v>31060</v>
      </c>
    </row>
    <row r="16" spans="1:10" s="41" customFormat="1" ht="14.25" customHeight="1">
      <c r="A16" s="56" t="s">
        <v>56</v>
      </c>
      <c r="B16" s="176">
        <v>95</v>
      </c>
      <c r="C16" s="176">
        <v>144</v>
      </c>
      <c r="D16" s="176">
        <v>6494</v>
      </c>
      <c r="E16" s="174">
        <v>7111</v>
      </c>
      <c r="F16" s="174">
        <v>2595</v>
      </c>
      <c r="G16" s="174">
        <v>6588</v>
      </c>
      <c r="H16" s="175">
        <v>2451</v>
      </c>
    </row>
    <row r="17" spans="1:10" s="41" customFormat="1" ht="14.25" customHeight="1">
      <c r="A17" s="56" t="s">
        <v>57</v>
      </c>
      <c r="B17" s="176">
        <v>420</v>
      </c>
      <c r="C17" s="176">
        <v>773</v>
      </c>
      <c r="D17" s="176">
        <v>20090</v>
      </c>
      <c r="E17" s="174">
        <v>22800</v>
      </c>
      <c r="F17" s="174">
        <v>9181</v>
      </c>
      <c r="G17" s="174">
        <v>19713</v>
      </c>
      <c r="H17" s="175">
        <v>8298</v>
      </c>
    </row>
    <row r="18" spans="1:10" ht="14.25" customHeight="1">
      <c r="A18" s="56" t="s">
        <v>58</v>
      </c>
      <c r="B18" s="176">
        <v>159</v>
      </c>
      <c r="C18" s="176">
        <v>283</v>
      </c>
      <c r="D18" s="176">
        <v>11262</v>
      </c>
      <c r="E18" s="174">
        <v>10289</v>
      </c>
      <c r="F18" s="174">
        <v>4097</v>
      </c>
      <c r="G18" s="174">
        <v>8579</v>
      </c>
      <c r="H18" s="175">
        <v>3601</v>
      </c>
    </row>
    <row r="19" spans="1:10" ht="14.25" customHeight="1">
      <c r="A19" s="56" t="s">
        <v>59</v>
      </c>
      <c r="B19" s="176">
        <v>302</v>
      </c>
      <c r="C19" s="176">
        <v>512</v>
      </c>
      <c r="D19" s="176">
        <v>28213</v>
      </c>
      <c r="E19" s="174">
        <v>27544</v>
      </c>
      <c r="F19" s="174">
        <v>12748</v>
      </c>
      <c r="G19" s="174">
        <v>24922</v>
      </c>
      <c r="H19" s="175">
        <v>11656</v>
      </c>
    </row>
    <row r="20" spans="1:10" ht="14.25" customHeight="1">
      <c r="A20" s="56" t="s">
        <v>60</v>
      </c>
      <c r="B20" s="176">
        <v>448</v>
      </c>
      <c r="C20" s="176">
        <v>667</v>
      </c>
      <c r="D20" s="176">
        <v>38264</v>
      </c>
      <c r="E20" s="174">
        <v>39591</v>
      </c>
      <c r="F20" s="174">
        <v>14076</v>
      </c>
      <c r="G20" s="174">
        <v>35975</v>
      </c>
      <c r="H20" s="175">
        <v>12838</v>
      </c>
    </row>
    <row r="21" spans="1:10" ht="14.25" customHeight="1">
      <c r="A21" s="56" t="s">
        <v>61</v>
      </c>
      <c r="B21" s="176">
        <v>112</v>
      </c>
      <c r="C21" s="176">
        <v>212</v>
      </c>
      <c r="D21" s="176">
        <v>7029</v>
      </c>
      <c r="E21" s="174">
        <v>6919</v>
      </c>
      <c r="F21" s="174">
        <v>2827</v>
      </c>
      <c r="G21" s="174">
        <v>5712</v>
      </c>
      <c r="H21" s="175">
        <v>2533</v>
      </c>
    </row>
    <row r="22" spans="1:10" ht="14.25" customHeight="1">
      <c r="A22" s="56" t="s">
        <v>62</v>
      </c>
      <c r="B22" s="176">
        <v>186</v>
      </c>
      <c r="C22" s="176">
        <v>330</v>
      </c>
      <c r="D22" s="176">
        <v>11001</v>
      </c>
      <c r="E22" s="174">
        <v>10866</v>
      </c>
      <c r="F22" s="174">
        <v>4191</v>
      </c>
      <c r="G22" s="174">
        <v>9334</v>
      </c>
      <c r="H22" s="175">
        <v>3724</v>
      </c>
    </row>
    <row r="23" spans="1:10" ht="14.25" customHeight="1">
      <c r="A23" s="56" t="s">
        <v>63</v>
      </c>
      <c r="B23" s="176">
        <v>522</v>
      </c>
      <c r="C23" s="176">
        <v>841</v>
      </c>
      <c r="D23" s="176">
        <v>33972</v>
      </c>
      <c r="E23" s="174">
        <v>35083</v>
      </c>
      <c r="F23" s="174">
        <v>13219</v>
      </c>
      <c r="G23" s="174">
        <v>30947</v>
      </c>
      <c r="H23" s="175">
        <v>12106</v>
      </c>
    </row>
    <row r="24" spans="1:10" ht="14.25" customHeight="1">
      <c r="A24" s="56" t="s">
        <v>64</v>
      </c>
      <c r="B24" s="176">
        <v>291</v>
      </c>
      <c r="C24" s="176">
        <v>474</v>
      </c>
      <c r="D24" s="176">
        <v>19593</v>
      </c>
      <c r="E24" s="174">
        <v>19145</v>
      </c>
      <c r="F24" s="174">
        <v>7431</v>
      </c>
      <c r="G24" s="174">
        <v>16492</v>
      </c>
      <c r="H24" s="175">
        <v>6555</v>
      </c>
    </row>
    <row r="25" spans="1:10" s="57" customFormat="1" ht="40.4" customHeight="1">
      <c r="A25" s="557" t="s">
        <v>67</v>
      </c>
      <c r="B25" s="558"/>
      <c r="C25" s="558"/>
      <c r="D25" s="558"/>
      <c r="E25" s="558"/>
      <c r="F25" s="558"/>
      <c r="G25" s="558"/>
      <c r="H25" s="559"/>
      <c r="J25" s="50"/>
    </row>
    <row r="26" spans="1:10" s="57" customFormat="1" ht="20.5" customHeight="1">
      <c r="A26" s="46" t="s">
        <v>1162</v>
      </c>
      <c r="B26" s="182">
        <v>2170</v>
      </c>
      <c r="C26" s="182">
        <v>3230</v>
      </c>
      <c r="D26" s="182">
        <v>175184</v>
      </c>
      <c r="E26" s="182">
        <v>175842</v>
      </c>
      <c r="F26" s="182">
        <v>73136</v>
      </c>
      <c r="G26" s="182">
        <v>152676</v>
      </c>
      <c r="H26" s="183">
        <v>65700</v>
      </c>
    </row>
    <row r="27" spans="1:10" s="57" customFormat="1" ht="14.25" customHeight="1">
      <c r="A27" s="252">
        <v>2024</v>
      </c>
      <c r="B27" s="193">
        <v>2383</v>
      </c>
      <c r="C27" s="193">
        <v>3532</v>
      </c>
      <c r="D27" s="193">
        <v>214539</v>
      </c>
      <c r="E27" s="193">
        <v>216824</v>
      </c>
      <c r="F27" s="193">
        <v>91915</v>
      </c>
      <c r="G27" s="193">
        <v>190308</v>
      </c>
      <c r="H27" s="194">
        <v>82470</v>
      </c>
    </row>
    <row r="28" spans="1:10" s="57" customFormat="1" ht="14.25" customHeight="1">
      <c r="A28" s="61" t="s">
        <v>49</v>
      </c>
      <c r="B28" s="195">
        <v>145</v>
      </c>
      <c r="C28" s="195">
        <v>201</v>
      </c>
      <c r="D28" s="195">
        <v>11929</v>
      </c>
      <c r="E28" s="195">
        <v>11660</v>
      </c>
      <c r="F28" s="195">
        <v>4912</v>
      </c>
      <c r="G28" s="195">
        <v>9388</v>
      </c>
      <c r="H28" s="196">
        <v>4082</v>
      </c>
    </row>
    <row r="29" spans="1:10" s="57" customFormat="1" ht="14.25" customHeight="1">
      <c r="A29" s="61" t="s">
        <v>50</v>
      </c>
      <c r="B29" s="195">
        <v>115</v>
      </c>
      <c r="C29" s="195">
        <v>160</v>
      </c>
      <c r="D29" s="195">
        <v>7378</v>
      </c>
      <c r="E29" s="195">
        <v>8352</v>
      </c>
      <c r="F29" s="195">
        <v>3689</v>
      </c>
      <c r="G29" s="195">
        <v>7129</v>
      </c>
      <c r="H29" s="196">
        <v>3322</v>
      </c>
    </row>
    <row r="30" spans="1:10" s="57" customFormat="1" ht="14.25" customHeight="1">
      <c r="A30" s="61" t="s">
        <v>51</v>
      </c>
      <c r="B30" s="195">
        <v>109</v>
      </c>
      <c r="C30" s="195">
        <v>178</v>
      </c>
      <c r="D30" s="195">
        <v>9536</v>
      </c>
      <c r="E30" s="195">
        <v>9134</v>
      </c>
      <c r="F30" s="195">
        <v>3798</v>
      </c>
      <c r="G30" s="195">
        <v>8198</v>
      </c>
      <c r="H30" s="196">
        <v>3456</v>
      </c>
    </row>
    <row r="31" spans="1:10" s="57" customFormat="1" ht="14.25" customHeight="1">
      <c r="A31" s="61" t="s">
        <v>52</v>
      </c>
      <c r="B31" s="195">
        <v>75</v>
      </c>
      <c r="C31" s="195">
        <v>98</v>
      </c>
      <c r="D31" s="195">
        <v>5609</v>
      </c>
      <c r="E31" s="195">
        <v>5272</v>
      </c>
      <c r="F31" s="195">
        <v>2296</v>
      </c>
      <c r="G31" s="195">
        <v>4838</v>
      </c>
      <c r="H31" s="196">
        <v>2117</v>
      </c>
    </row>
    <row r="32" spans="1:10" s="57" customFormat="1" ht="14.25" customHeight="1">
      <c r="A32" s="61" t="s">
        <v>53</v>
      </c>
      <c r="B32" s="195">
        <v>149</v>
      </c>
      <c r="C32" s="195">
        <v>226</v>
      </c>
      <c r="D32" s="195">
        <v>11689</v>
      </c>
      <c r="E32" s="195">
        <v>12720</v>
      </c>
      <c r="F32" s="195">
        <v>5714</v>
      </c>
      <c r="G32" s="195">
        <v>10784</v>
      </c>
      <c r="H32" s="196">
        <v>5044</v>
      </c>
    </row>
    <row r="33" spans="1:8" s="57" customFormat="1" ht="14.25" customHeight="1">
      <c r="A33" s="61" t="s">
        <v>54</v>
      </c>
      <c r="B33" s="195">
        <v>174</v>
      </c>
      <c r="C33" s="195">
        <v>277</v>
      </c>
      <c r="D33" s="195">
        <v>15388</v>
      </c>
      <c r="E33" s="195">
        <v>15525</v>
      </c>
      <c r="F33" s="195">
        <v>6584</v>
      </c>
      <c r="G33" s="195">
        <v>13817</v>
      </c>
      <c r="H33" s="196">
        <v>5965</v>
      </c>
    </row>
    <row r="34" spans="1:8" s="57" customFormat="1" ht="14.25" customHeight="1">
      <c r="A34" s="62" t="s">
        <v>55</v>
      </c>
      <c r="B34" s="195">
        <v>376</v>
      </c>
      <c r="C34" s="195">
        <v>590</v>
      </c>
      <c r="D34" s="195">
        <v>51502</v>
      </c>
      <c r="E34" s="195">
        <v>53086</v>
      </c>
      <c r="F34" s="195">
        <v>23598</v>
      </c>
      <c r="G34" s="195">
        <v>48048</v>
      </c>
      <c r="H34" s="196">
        <v>21482</v>
      </c>
    </row>
    <row r="35" spans="1:8" s="57" customFormat="1" ht="14.25" customHeight="1">
      <c r="A35" s="62" t="s">
        <v>56</v>
      </c>
      <c r="B35" s="195">
        <v>57</v>
      </c>
      <c r="C35" s="195">
        <v>81</v>
      </c>
      <c r="D35" s="195">
        <v>4890</v>
      </c>
      <c r="E35" s="195">
        <v>4852</v>
      </c>
      <c r="F35" s="195">
        <v>2028</v>
      </c>
      <c r="G35" s="195">
        <v>4415</v>
      </c>
      <c r="H35" s="196">
        <v>1892</v>
      </c>
    </row>
    <row r="36" spans="1:8" s="57" customFormat="1" ht="14.25" customHeight="1">
      <c r="A36" s="62" t="s">
        <v>57</v>
      </c>
      <c r="B36" s="195">
        <v>123</v>
      </c>
      <c r="C36" s="195">
        <v>168</v>
      </c>
      <c r="D36" s="195">
        <v>7852</v>
      </c>
      <c r="E36" s="195">
        <v>8690</v>
      </c>
      <c r="F36" s="195">
        <v>3708</v>
      </c>
      <c r="G36" s="195">
        <v>7362</v>
      </c>
      <c r="H36" s="196">
        <v>3336</v>
      </c>
    </row>
    <row r="37" spans="1:8" s="57" customFormat="1" ht="14.25" customHeight="1">
      <c r="A37" s="62" t="s">
        <v>58</v>
      </c>
      <c r="B37" s="195">
        <v>73</v>
      </c>
      <c r="C37" s="195">
        <v>125</v>
      </c>
      <c r="D37" s="195">
        <v>5741</v>
      </c>
      <c r="E37" s="195">
        <v>5214</v>
      </c>
      <c r="F37" s="195">
        <v>2216</v>
      </c>
      <c r="G37" s="195">
        <v>4381</v>
      </c>
      <c r="H37" s="196">
        <v>1991</v>
      </c>
    </row>
    <row r="38" spans="1:8" s="57" customFormat="1" ht="14.25" customHeight="1">
      <c r="A38" s="62" t="s">
        <v>59</v>
      </c>
      <c r="B38" s="195">
        <v>160</v>
      </c>
      <c r="C38" s="195">
        <v>247</v>
      </c>
      <c r="D38" s="195">
        <v>16555</v>
      </c>
      <c r="E38" s="195">
        <v>16382</v>
      </c>
      <c r="F38" s="195">
        <v>7284</v>
      </c>
      <c r="G38" s="195">
        <v>14522</v>
      </c>
      <c r="H38" s="196">
        <v>6419</v>
      </c>
    </row>
    <row r="39" spans="1:8" s="57" customFormat="1" ht="14.25" customHeight="1">
      <c r="A39" s="62" t="s">
        <v>60</v>
      </c>
      <c r="B39" s="195">
        <v>255</v>
      </c>
      <c r="C39" s="195">
        <v>351</v>
      </c>
      <c r="D39" s="195">
        <v>23610</v>
      </c>
      <c r="E39" s="195">
        <v>23791</v>
      </c>
      <c r="F39" s="195">
        <v>9390</v>
      </c>
      <c r="G39" s="195">
        <v>21304</v>
      </c>
      <c r="H39" s="196">
        <v>8434</v>
      </c>
    </row>
    <row r="40" spans="1:8" s="57" customFormat="1" ht="14.25" customHeight="1">
      <c r="A40" s="62" t="s">
        <v>61</v>
      </c>
      <c r="B40" s="195">
        <v>55</v>
      </c>
      <c r="C40" s="195">
        <v>89</v>
      </c>
      <c r="D40" s="195">
        <v>4217</v>
      </c>
      <c r="E40" s="195">
        <v>4096</v>
      </c>
      <c r="F40" s="195">
        <v>1819</v>
      </c>
      <c r="G40" s="195">
        <v>3176</v>
      </c>
      <c r="H40" s="196">
        <v>1582</v>
      </c>
    </row>
    <row r="41" spans="1:8" s="57" customFormat="1" ht="14.25" customHeight="1">
      <c r="A41" s="62" t="s">
        <v>62</v>
      </c>
      <c r="B41" s="195">
        <v>107</v>
      </c>
      <c r="C41" s="195">
        <v>172</v>
      </c>
      <c r="D41" s="195">
        <v>7586</v>
      </c>
      <c r="E41" s="195">
        <v>7715</v>
      </c>
      <c r="F41" s="195">
        <v>2965</v>
      </c>
      <c r="G41" s="195">
        <v>6561</v>
      </c>
      <c r="H41" s="196">
        <v>2640</v>
      </c>
    </row>
    <row r="42" spans="1:8" s="57" customFormat="1" ht="14.25" customHeight="1">
      <c r="A42" s="62" t="s">
        <v>63</v>
      </c>
      <c r="B42" s="195">
        <v>271</v>
      </c>
      <c r="C42" s="195">
        <v>366</v>
      </c>
      <c r="D42" s="195">
        <v>21083</v>
      </c>
      <c r="E42" s="195">
        <v>20614</v>
      </c>
      <c r="F42" s="195">
        <v>8134</v>
      </c>
      <c r="G42" s="195">
        <v>18164</v>
      </c>
      <c r="H42" s="196">
        <v>7452</v>
      </c>
    </row>
    <row r="43" spans="1:8" s="57" customFormat="1" ht="14.25" customHeight="1">
      <c r="A43" s="62" t="s">
        <v>64</v>
      </c>
      <c r="B43" s="195">
        <v>139</v>
      </c>
      <c r="C43" s="195">
        <v>203</v>
      </c>
      <c r="D43" s="195">
        <v>9974</v>
      </c>
      <c r="E43" s="195">
        <v>9721</v>
      </c>
      <c r="F43" s="195">
        <v>3780</v>
      </c>
      <c r="G43" s="195">
        <v>8221</v>
      </c>
      <c r="H43" s="196">
        <v>3256</v>
      </c>
    </row>
    <row r="44" spans="1:8" s="57" customFormat="1"/>
  </sheetData>
  <mergeCells count="12">
    <mergeCell ref="G5:H5"/>
    <mergeCell ref="A25:H25"/>
    <mergeCell ref="A1:H1"/>
    <mergeCell ref="A2:H2"/>
    <mergeCell ref="G3:H3"/>
    <mergeCell ref="A4:A6"/>
    <mergeCell ref="B4:B6"/>
    <mergeCell ref="C4:C6"/>
    <mergeCell ref="D4:D6"/>
    <mergeCell ref="E4:H4"/>
    <mergeCell ref="E5:E6"/>
    <mergeCell ref="F5:F6"/>
  </mergeCells>
  <hyperlinks>
    <hyperlink ref="G3" location="'Spis tablic'!A4" display="Powrót do spisu treści" xr:uid="{00000000-0004-0000-0800-000000000000}"/>
    <hyperlink ref="G3:H3" location="'Spis tablic  List of tables'!A19" display="'Spis tablic  List of tables'!A19" xr:uid="{00000000-0004-0000-0800-000001000000}"/>
  </hyperlinks>
  <pageMargins left="0.7" right="0.7" top="0.75" bottom="0.75" header="0.3" footer="0.3"/>
  <pageSetup paperSize="9" scale="85" fitToWidth="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42</vt:i4>
      </vt:variant>
      <vt:variant>
        <vt:lpstr>Nazwane zakresy</vt:lpstr>
      </vt:variant>
      <vt:variant>
        <vt:i4>9</vt:i4>
      </vt:variant>
    </vt:vector>
  </HeadingPairs>
  <TitlesOfParts>
    <vt:vector size="51" baseType="lpstr">
      <vt:lpstr>Spis tablic  List of tables</vt:lpstr>
      <vt:lpstr>Symbole Symbols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</vt:lpstr>
      <vt:lpstr>TABL.37</vt:lpstr>
      <vt:lpstr>TABL.38</vt:lpstr>
      <vt:lpstr>TABL.39</vt:lpstr>
      <vt:lpstr>TABL.40</vt:lpstr>
      <vt:lpstr>'Spis tablic  List of tables'!_Toc267050813</vt:lpstr>
      <vt:lpstr>'Spis tablic  List of tables'!_Toc267050816</vt:lpstr>
      <vt:lpstr>'Spis tablic  List of tables'!_Toc267050819</vt:lpstr>
      <vt:lpstr>'Spis tablic  List of tables'!_Toc267050823</vt:lpstr>
      <vt:lpstr>'Spis tablic  List of tables'!_Toc267050829</vt:lpstr>
      <vt:lpstr>TABL.15!Obszar_wydruku</vt:lpstr>
      <vt:lpstr>TABL.28!Obszar_wydruku</vt:lpstr>
      <vt:lpstr>TABL.30!Obszar_wydruku</vt:lpstr>
      <vt:lpstr>SEKCJE__CZŁONKOWIE_I_ĆWICZĄCY_W_KLUBACH_SPORTOWYCH_WEDŁUG_MAKROREGIONÓW_W_2020_R.</vt:lpstr>
    </vt:vector>
  </TitlesOfParts>
  <Company>CIS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Pokrzywa Monika</dc:creator>
  <cp:lastModifiedBy>Malinowska Ewa</cp:lastModifiedBy>
  <cp:lastPrinted>2021-11-02T16:30:07Z</cp:lastPrinted>
  <dcterms:created xsi:type="dcterms:W3CDTF">2021-10-29T06:41:48Z</dcterms:created>
  <dcterms:modified xsi:type="dcterms:W3CDTF">2025-11-18T06:35:43Z</dcterms:modified>
</cp:coreProperties>
</file>